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1 中国大会　運営\17.結果報告\R1.報道への報告\"/>
    </mc:Choice>
  </mc:AlternateContent>
  <bookViews>
    <workbookView xWindow="0" yWindow="0" windowWidth="20490" windowHeight="7770" activeTab="5"/>
  </bookViews>
  <sheets>
    <sheet name="日程・対戦記録表" sheetId="8" r:id="rId1"/>
    <sheet name="男子A" sheetId="9" r:id="rId2"/>
    <sheet name="男子B" sheetId="10" r:id="rId3"/>
    <sheet name="女子a" sheetId="11" r:id="rId4"/>
    <sheet name="女子b" sheetId="12" r:id="rId5"/>
    <sheet name="組合せ表" sheetId="13" r:id="rId6"/>
  </sheets>
  <externalReferences>
    <externalReference r:id="rId7"/>
    <externalReference r:id="rId8"/>
  </externalReferences>
  <definedNames>
    <definedName name="_xlnm.Print_Area" localSheetId="1">男子A!$B$1:$AR$40</definedName>
    <definedName name="_xlnm.Print_Area" localSheetId="0">日程・対戦記録表!$A$1:$AP$75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7" i="13" l="1"/>
  <c r="V57" i="13"/>
  <c r="R57" i="13"/>
  <c r="N57" i="13"/>
  <c r="J57" i="13"/>
  <c r="D57" i="13"/>
  <c r="V54" i="13"/>
  <c r="U54" i="13"/>
  <c r="T54" i="13"/>
  <c r="S54" i="13"/>
  <c r="N54" i="13"/>
  <c r="M54" i="13"/>
  <c r="L54" i="13"/>
  <c r="K54" i="13"/>
  <c r="V53" i="13"/>
  <c r="U53" i="13"/>
  <c r="T53" i="13"/>
  <c r="S53" i="13"/>
  <c r="N53" i="13"/>
  <c r="M53" i="13"/>
  <c r="L53" i="13"/>
  <c r="K53" i="13"/>
  <c r="V52" i="13"/>
  <c r="U52" i="13"/>
  <c r="T52" i="13"/>
  <c r="S52" i="13"/>
  <c r="N52" i="13"/>
  <c r="M52" i="13"/>
  <c r="L52" i="13"/>
  <c r="K52" i="13"/>
  <c r="V51" i="13"/>
  <c r="S51" i="13"/>
  <c r="N51" i="13"/>
  <c r="K51" i="13"/>
  <c r="Z50" i="13"/>
  <c r="Y50" i="13"/>
  <c r="X50" i="13"/>
  <c r="W50" i="13"/>
  <c r="J50" i="13"/>
  <c r="I50" i="13"/>
  <c r="H50" i="13"/>
  <c r="G50" i="13"/>
  <c r="Z49" i="13"/>
  <c r="Y49" i="13"/>
  <c r="X49" i="13"/>
  <c r="W49" i="13"/>
  <c r="J49" i="13"/>
  <c r="I49" i="13"/>
  <c r="H49" i="13"/>
  <c r="G49" i="13"/>
  <c r="AN48" i="13"/>
  <c r="AH48" i="13"/>
  <c r="Z48" i="13"/>
  <c r="Y48" i="13"/>
  <c r="X48" i="13"/>
  <c r="W48" i="13"/>
  <c r="J48" i="13"/>
  <c r="I48" i="13"/>
  <c r="H48" i="13"/>
  <c r="G48" i="13"/>
  <c r="AM47" i="13"/>
  <c r="AL47" i="13"/>
  <c r="AK47" i="13"/>
  <c r="AJ47" i="13"/>
  <c r="Z47" i="13"/>
  <c r="W47" i="13"/>
  <c r="J47" i="13"/>
  <c r="G47" i="13"/>
  <c r="AM46" i="13"/>
  <c r="AL46" i="13"/>
  <c r="AK46" i="13"/>
  <c r="AJ46" i="13"/>
  <c r="R46" i="13"/>
  <c r="Q46" i="13"/>
  <c r="P46" i="13"/>
  <c r="O46" i="13"/>
  <c r="AM45" i="13"/>
  <c r="AL45" i="13"/>
  <c r="AK45" i="13"/>
  <c r="AJ45" i="13"/>
  <c r="R45" i="13"/>
  <c r="Q45" i="13"/>
  <c r="P45" i="13"/>
  <c r="O45" i="13"/>
  <c r="AM44" i="13"/>
  <c r="AJ44" i="13"/>
  <c r="R44" i="13"/>
  <c r="Q44" i="13"/>
  <c r="P44" i="13"/>
  <c r="O44" i="13"/>
  <c r="R43" i="13"/>
  <c r="O43" i="13"/>
  <c r="AI40" i="13"/>
  <c r="N39" i="13"/>
  <c r="AB27" i="13"/>
  <c r="V27" i="13"/>
  <c r="R27" i="13"/>
  <c r="N27" i="13"/>
  <c r="J27" i="13"/>
  <c r="D27" i="13"/>
  <c r="V24" i="13"/>
  <c r="U24" i="13"/>
  <c r="T24" i="13"/>
  <c r="S24" i="13"/>
  <c r="N24" i="13"/>
  <c r="M24" i="13"/>
  <c r="L24" i="13"/>
  <c r="K24" i="13"/>
  <c r="V23" i="13"/>
  <c r="U23" i="13"/>
  <c r="T23" i="13"/>
  <c r="S23" i="13"/>
  <c r="N23" i="13"/>
  <c r="M23" i="13"/>
  <c r="L23" i="13"/>
  <c r="K23" i="13"/>
  <c r="V22" i="13"/>
  <c r="U22" i="13"/>
  <c r="T22" i="13"/>
  <c r="S22" i="13"/>
  <c r="N22" i="13"/>
  <c r="M22" i="13"/>
  <c r="L22" i="13"/>
  <c r="K22" i="13"/>
  <c r="V21" i="13"/>
  <c r="S21" i="13"/>
  <c r="N21" i="13"/>
  <c r="K21" i="13"/>
  <c r="Z20" i="13"/>
  <c r="Y20" i="13"/>
  <c r="X20" i="13"/>
  <c r="W20" i="13"/>
  <c r="J20" i="13"/>
  <c r="I20" i="13"/>
  <c r="H20" i="13"/>
  <c r="G20" i="13"/>
  <c r="Z19" i="13"/>
  <c r="Y19" i="13"/>
  <c r="X19" i="13"/>
  <c r="W19" i="13"/>
  <c r="J19" i="13"/>
  <c r="I19" i="13"/>
  <c r="H19" i="13"/>
  <c r="G19" i="13"/>
  <c r="AN18" i="13"/>
  <c r="AH18" i="13"/>
  <c r="Z18" i="13"/>
  <c r="Y18" i="13"/>
  <c r="X18" i="13"/>
  <c r="W18" i="13"/>
  <c r="J18" i="13"/>
  <c r="I18" i="13"/>
  <c r="H18" i="13"/>
  <c r="G18" i="13"/>
  <c r="AM17" i="13"/>
  <c r="AL17" i="13"/>
  <c r="AK17" i="13"/>
  <c r="AJ17" i="13"/>
  <c r="Z17" i="13"/>
  <c r="W17" i="13"/>
  <c r="J17" i="13"/>
  <c r="G17" i="13"/>
  <c r="AM16" i="13"/>
  <c r="AL16" i="13"/>
  <c r="AK16" i="13"/>
  <c r="AJ16" i="13"/>
  <c r="R16" i="13"/>
  <c r="Q16" i="13"/>
  <c r="P16" i="13"/>
  <c r="O16" i="13"/>
  <c r="AM15" i="13"/>
  <c r="AL15" i="13"/>
  <c r="AK15" i="13"/>
  <c r="AJ15" i="13"/>
  <c r="R15" i="13"/>
  <c r="Q15" i="13"/>
  <c r="P15" i="13"/>
  <c r="O15" i="13"/>
  <c r="AM14" i="13"/>
  <c r="AJ14" i="13"/>
  <c r="R14" i="13"/>
  <c r="Q14" i="13"/>
  <c r="P14" i="13"/>
  <c r="O14" i="13"/>
  <c r="R13" i="13"/>
  <c r="O13" i="13"/>
  <c r="AI10" i="13"/>
  <c r="N9" i="13"/>
  <c r="AF4" i="13"/>
  <c r="AF2" i="13"/>
  <c r="B1" i="13"/>
  <c r="AT45" i="12" l="1"/>
  <c r="B43" i="12"/>
  <c r="AT42" i="12"/>
  <c r="AT39" i="12"/>
  <c r="AT36" i="12"/>
  <c r="AT33" i="12"/>
  <c r="W30" i="12"/>
  <c r="AV26" i="12"/>
  <c r="AK26" i="12"/>
  <c r="D38" i="12" s="1"/>
  <c r="AI26" i="12"/>
  <c r="A26" i="12"/>
  <c r="AX25" i="12"/>
  <c r="AV25" i="12"/>
  <c r="AQ25" i="12"/>
  <c r="AP25" i="12"/>
  <c r="AO25" i="12"/>
  <c r="AN25" i="12"/>
  <c r="AM25" i="12"/>
  <c r="AK25" i="12"/>
  <c r="D37" i="12" s="1"/>
  <c r="C37" i="12" s="1"/>
  <c r="AI25" i="12"/>
  <c r="F37" i="12" s="1"/>
  <c r="AH25" i="12"/>
  <c r="AG25" i="12"/>
  <c r="AF25" i="12"/>
  <c r="AE25" i="12"/>
  <c r="AD25" i="12"/>
  <c r="AC25" i="12"/>
  <c r="Q25" i="12"/>
  <c r="C25" i="12"/>
  <c r="B25" i="12"/>
  <c r="B26" i="12" s="1"/>
  <c r="AV24" i="12"/>
  <c r="AK24" i="12"/>
  <c r="I41" i="12" s="1"/>
  <c r="AI24" i="12"/>
  <c r="K41" i="12" s="1"/>
  <c r="A24" i="12"/>
  <c r="AX23" i="12"/>
  <c r="AV23" i="12"/>
  <c r="AQ23" i="12"/>
  <c r="AP23" i="12"/>
  <c r="AO23" i="12"/>
  <c r="AN23" i="12"/>
  <c r="AM23" i="12"/>
  <c r="AK23" i="12"/>
  <c r="I40" i="12" s="1"/>
  <c r="H40" i="12" s="1"/>
  <c r="AI23" i="12"/>
  <c r="K40" i="12" s="1"/>
  <c r="L40" i="12" s="1"/>
  <c r="AH23" i="12"/>
  <c r="AG23" i="12"/>
  <c r="AF23" i="12"/>
  <c r="AE23" i="12"/>
  <c r="AD23" i="12"/>
  <c r="AC23" i="12"/>
  <c r="Q23" i="12"/>
  <c r="C23" i="12"/>
  <c r="B23" i="12"/>
  <c r="B24" i="12" s="1"/>
  <c r="AV22" i="12"/>
  <c r="AK22" i="12"/>
  <c r="D41" i="12" s="1"/>
  <c r="AI22" i="12"/>
  <c r="F41" i="12" s="1"/>
  <c r="A22" i="12"/>
  <c r="AX21" i="12"/>
  <c r="AV21" i="12"/>
  <c r="AQ21" i="12"/>
  <c r="AP21" i="12"/>
  <c r="AO21" i="12"/>
  <c r="AN21" i="12"/>
  <c r="AM21" i="12"/>
  <c r="AK21" i="12"/>
  <c r="D40" i="12" s="1"/>
  <c r="C40" i="12" s="1"/>
  <c r="AI21" i="12"/>
  <c r="F40" i="12" s="1"/>
  <c r="G40" i="12" s="1"/>
  <c r="AH21" i="12"/>
  <c r="AG21" i="12"/>
  <c r="AF21" i="12"/>
  <c r="AE21" i="12"/>
  <c r="AD21" i="12"/>
  <c r="AC21" i="12"/>
  <c r="Q21" i="12"/>
  <c r="C21" i="12"/>
  <c r="B21" i="12"/>
  <c r="B22" i="12" s="1"/>
  <c r="AV20" i="12"/>
  <c r="AK20" i="12"/>
  <c r="I38" i="12" s="1"/>
  <c r="AI20" i="12"/>
  <c r="K38" i="12" s="1"/>
  <c r="A20" i="12"/>
  <c r="AX19" i="12"/>
  <c r="AV19" i="12"/>
  <c r="AQ19" i="12"/>
  <c r="AP19" i="12"/>
  <c r="AO19" i="12"/>
  <c r="AN19" i="12"/>
  <c r="AM19" i="12"/>
  <c r="AK19" i="12"/>
  <c r="I37" i="12" s="1"/>
  <c r="H37" i="12" s="1"/>
  <c r="AI19" i="12"/>
  <c r="K37" i="12" s="1"/>
  <c r="L37" i="12" s="1"/>
  <c r="AH19" i="12"/>
  <c r="AG19" i="12"/>
  <c r="AF19" i="12"/>
  <c r="AE19" i="12"/>
  <c r="AD19" i="12"/>
  <c r="AC19" i="12"/>
  <c r="Q19" i="12"/>
  <c r="C19" i="12"/>
  <c r="B19" i="12"/>
  <c r="B20" i="12" s="1"/>
  <c r="AV18" i="12"/>
  <c r="AK18" i="12"/>
  <c r="AI18" i="12"/>
  <c r="A18" i="12"/>
  <c r="AX17" i="12"/>
  <c r="AV17" i="12"/>
  <c r="AQ17" i="12"/>
  <c r="AP17" i="12"/>
  <c r="AO17" i="12"/>
  <c r="AN17" i="12"/>
  <c r="AM17" i="12"/>
  <c r="AK17" i="12"/>
  <c r="AI17" i="12"/>
  <c r="AH17" i="12"/>
  <c r="AG17" i="12"/>
  <c r="AF17" i="12"/>
  <c r="AE17" i="12"/>
  <c r="AD17" i="12"/>
  <c r="AC17" i="12"/>
  <c r="Q17" i="12"/>
  <c r="C17" i="12"/>
  <c r="B17" i="12"/>
  <c r="B18" i="12" s="1"/>
  <c r="AV16" i="12"/>
  <c r="AK16" i="12"/>
  <c r="AI16" i="12"/>
  <c r="A16" i="12"/>
  <c r="AX15" i="12"/>
  <c r="AV15" i="12"/>
  <c r="AQ15" i="12"/>
  <c r="AP15" i="12"/>
  <c r="AO15" i="12"/>
  <c r="AN15" i="12"/>
  <c r="AM15" i="12"/>
  <c r="AK15" i="12"/>
  <c r="AI15" i="12"/>
  <c r="AH15" i="12"/>
  <c r="AG15" i="12"/>
  <c r="AF15" i="12"/>
  <c r="AE15" i="12"/>
  <c r="AD15" i="12"/>
  <c r="AC15" i="12"/>
  <c r="Q15" i="12"/>
  <c r="C15" i="12"/>
  <c r="B15" i="12"/>
  <c r="B16" i="12" s="1"/>
  <c r="G10" i="12"/>
  <c r="AT9" i="12"/>
  <c r="Q9" i="12"/>
  <c r="H9" i="12"/>
  <c r="B40" i="12" s="1"/>
  <c r="G9" i="12"/>
  <c r="AT8" i="12"/>
  <c r="Q8" i="12"/>
  <c r="H8" i="12"/>
  <c r="B37" i="12" s="1"/>
  <c r="G8" i="12"/>
  <c r="AT7" i="12"/>
  <c r="Q7" i="12"/>
  <c r="H7" i="12"/>
  <c r="B34" i="12" s="1"/>
  <c r="G7" i="12"/>
  <c r="AT6" i="12"/>
  <c r="Q6" i="12"/>
  <c r="H6" i="12"/>
  <c r="B31" i="12" s="1"/>
  <c r="G6" i="12"/>
  <c r="AG4" i="12"/>
  <c r="Y4" i="12"/>
  <c r="B1" i="12"/>
  <c r="AT45" i="11"/>
  <c r="B43" i="11"/>
  <c r="AT42" i="11"/>
  <c r="AT39" i="11"/>
  <c r="AT36" i="11"/>
  <c r="AT33" i="11"/>
  <c r="W30" i="11"/>
  <c r="Z41" i="11" s="1"/>
  <c r="AV26" i="11"/>
  <c r="AK26" i="11"/>
  <c r="D38" i="11" s="1"/>
  <c r="AI26" i="11"/>
  <c r="A26" i="11"/>
  <c r="AX25" i="11"/>
  <c r="AV25" i="11"/>
  <c r="AQ25" i="11"/>
  <c r="AP25" i="11"/>
  <c r="AO25" i="11"/>
  <c r="AN25" i="11"/>
  <c r="AM25" i="11"/>
  <c r="AK25" i="11"/>
  <c r="D37" i="11" s="1"/>
  <c r="C37" i="11" s="1"/>
  <c r="AI25" i="11"/>
  <c r="F37" i="11" s="1"/>
  <c r="AH25" i="11"/>
  <c r="AG25" i="11"/>
  <c r="AF25" i="11"/>
  <c r="AE25" i="11"/>
  <c r="AD25" i="11"/>
  <c r="AC25" i="11"/>
  <c r="Q25" i="11"/>
  <c r="C25" i="11"/>
  <c r="B25" i="11"/>
  <c r="B26" i="11" s="1"/>
  <c r="AV24" i="11"/>
  <c r="AK24" i="11"/>
  <c r="I41" i="11" s="1"/>
  <c r="AI24" i="11"/>
  <c r="K41" i="11" s="1"/>
  <c r="A24" i="11"/>
  <c r="AX23" i="11"/>
  <c r="AV23" i="11"/>
  <c r="AQ23" i="11"/>
  <c r="AP23" i="11"/>
  <c r="AO23" i="11"/>
  <c r="AN23" i="11"/>
  <c r="AM23" i="11"/>
  <c r="AK23" i="11"/>
  <c r="I40" i="11" s="1"/>
  <c r="H40" i="11" s="1"/>
  <c r="AI23" i="11"/>
  <c r="K40" i="11" s="1"/>
  <c r="L40" i="11" s="1"/>
  <c r="AH23" i="11"/>
  <c r="AG23" i="11"/>
  <c r="AF23" i="11"/>
  <c r="AE23" i="11"/>
  <c r="AD23" i="11"/>
  <c r="AC23" i="11"/>
  <c r="Q23" i="11"/>
  <c r="C23" i="11"/>
  <c r="B23" i="11"/>
  <c r="B24" i="11" s="1"/>
  <c r="AV22" i="11"/>
  <c r="AK22" i="11"/>
  <c r="D41" i="11" s="1"/>
  <c r="AI22" i="11"/>
  <c r="F41" i="11" s="1"/>
  <c r="A22" i="11"/>
  <c r="AX21" i="11"/>
  <c r="AV21" i="11"/>
  <c r="AQ21" i="11"/>
  <c r="AP21" i="11"/>
  <c r="AO21" i="11"/>
  <c r="AN21" i="11"/>
  <c r="AM21" i="11"/>
  <c r="AK21" i="11"/>
  <c r="D40" i="11" s="1"/>
  <c r="C40" i="11" s="1"/>
  <c r="AI21" i="11"/>
  <c r="F40" i="11" s="1"/>
  <c r="G40" i="11" s="1"/>
  <c r="AH21" i="11"/>
  <c r="AG21" i="11"/>
  <c r="AF21" i="11"/>
  <c r="AE21" i="11"/>
  <c r="AD21" i="11"/>
  <c r="AC21" i="11"/>
  <c r="Q21" i="11"/>
  <c r="C21" i="11"/>
  <c r="B21" i="11"/>
  <c r="B22" i="11" s="1"/>
  <c r="AV20" i="11"/>
  <c r="AK20" i="11"/>
  <c r="I38" i="11" s="1"/>
  <c r="AI20" i="11"/>
  <c r="K38" i="11" s="1"/>
  <c r="A20" i="11"/>
  <c r="AX19" i="11"/>
  <c r="AV19" i="11"/>
  <c r="AQ19" i="11"/>
  <c r="AP19" i="11"/>
  <c r="AO19" i="11"/>
  <c r="AN19" i="11"/>
  <c r="AM19" i="11"/>
  <c r="AK19" i="11"/>
  <c r="I37" i="11" s="1"/>
  <c r="H37" i="11" s="1"/>
  <c r="AI19" i="11"/>
  <c r="K37" i="11" s="1"/>
  <c r="L37" i="11" s="1"/>
  <c r="AH19" i="11"/>
  <c r="AG19" i="11"/>
  <c r="AF19" i="11"/>
  <c r="AE19" i="11"/>
  <c r="AD19" i="11"/>
  <c r="AC19" i="11"/>
  <c r="Q19" i="11"/>
  <c r="C19" i="11"/>
  <c r="B19" i="11"/>
  <c r="B20" i="11" s="1"/>
  <c r="AV18" i="11"/>
  <c r="AK18" i="11"/>
  <c r="N41" i="11" s="1"/>
  <c r="AI18" i="11"/>
  <c r="P41" i="11" s="1"/>
  <c r="A18" i="11"/>
  <c r="AX17" i="11"/>
  <c r="AV17" i="11"/>
  <c r="AQ17" i="11"/>
  <c r="AP17" i="11"/>
  <c r="AO17" i="11"/>
  <c r="AN17" i="11"/>
  <c r="AM17" i="11"/>
  <c r="AK17" i="11"/>
  <c r="N40" i="11" s="1"/>
  <c r="M40" i="11" s="1"/>
  <c r="AI17" i="11"/>
  <c r="P40" i="11" s="1"/>
  <c r="Q40" i="11" s="1"/>
  <c r="AH17" i="11"/>
  <c r="AG17" i="11"/>
  <c r="AF17" i="11"/>
  <c r="AE17" i="11"/>
  <c r="AD17" i="11"/>
  <c r="AC17" i="11"/>
  <c r="Q17" i="11"/>
  <c r="C17" i="11"/>
  <c r="B17" i="11"/>
  <c r="B18" i="11" s="1"/>
  <c r="AV16" i="11"/>
  <c r="AK16" i="11"/>
  <c r="D35" i="11" s="1"/>
  <c r="AI16" i="11"/>
  <c r="F35" i="11" s="1"/>
  <c r="A16" i="11"/>
  <c r="AX15" i="11"/>
  <c r="AV15" i="11"/>
  <c r="AQ15" i="11"/>
  <c r="AP15" i="11"/>
  <c r="AO15" i="11"/>
  <c r="AN15" i="11"/>
  <c r="AM15" i="11"/>
  <c r="AK15" i="11"/>
  <c r="D34" i="11" s="1"/>
  <c r="C34" i="11" s="1"/>
  <c r="AI15" i="11"/>
  <c r="F34" i="11" s="1"/>
  <c r="G34" i="11" s="1"/>
  <c r="AH15" i="11"/>
  <c r="AG15" i="11"/>
  <c r="AF15" i="11"/>
  <c r="AE15" i="11"/>
  <c r="AD15" i="11"/>
  <c r="AC15" i="11"/>
  <c r="Q15" i="11"/>
  <c r="C15" i="11"/>
  <c r="B15" i="11"/>
  <c r="B16" i="11" s="1"/>
  <c r="G10" i="11"/>
  <c r="AT9" i="11"/>
  <c r="Q9" i="11"/>
  <c r="AR23" i="11" s="1"/>
  <c r="H9" i="11"/>
  <c r="B40" i="11" s="1"/>
  <c r="G9" i="11"/>
  <c r="AT8" i="11"/>
  <c r="Q8" i="11"/>
  <c r="AR25" i="11" s="1"/>
  <c r="H8" i="11"/>
  <c r="B37" i="11" s="1"/>
  <c r="G8" i="11"/>
  <c r="AT7" i="11"/>
  <c r="Q7" i="11"/>
  <c r="AB23" i="11" s="1"/>
  <c r="H7" i="11"/>
  <c r="B34" i="11" s="1"/>
  <c r="G7" i="11"/>
  <c r="AT6" i="11"/>
  <c r="Q6" i="11"/>
  <c r="AB25" i="11" s="1"/>
  <c r="H6" i="11"/>
  <c r="B31" i="11" s="1"/>
  <c r="G6" i="11"/>
  <c r="AG4" i="11"/>
  <c r="Y4" i="11"/>
  <c r="B1" i="11"/>
  <c r="AT45" i="10"/>
  <c r="B43" i="10"/>
  <c r="AT42" i="10"/>
  <c r="AT39" i="10"/>
  <c r="AT36" i="10"/>
  <c r="AT33" i="10"/>
  <c r="W30" i="10"/>
  <c r="Z41" i="10" s="1"/>
  <c r="AV26" i="10"/>
  <c r="AK26" i="10"/>
  <c r="D38" i="10" s="1"/>
  <c r="AI26" i="10"/>
  <c r="F38" i="10" s="1"/>
  <c r="A26" i="10"/>
  <c r="AX25" i="10"/>
  <c r="AV25" i="10"/>
  <c r="AQ25" i="10"/>
  <c r="AP25" i="10"/>
  <c r="AO25" i="10"/>
  <c r="AN25" i="10"/>
  <c r="AK25" i="10"/>
  <c r="D37" i="10" s="1"/>
  <c r="C37" i="10" s="1"/>
  <c r="AI25" i="10"/>
  <c r="F37" i="10" s="1"/>
  <c r="G37" i="10" s="1"/>
  <c r="AH25" i="10"/>
  <c r="AG25" i="10"/>
  <c r="AF25" i="10"/>
  <c r="AE25" i="10"/>
  <c r="AD25" i="10"/>
  <c r="Q25" i="10"/>
  <c r="C25" i="10"/>
  <c r="B25" i="10"/>
  <c r="B26" i="10" s="1"/>
  <c r="AV24" i="10"/>
  <c r="AK24" i="10"/>
  <c r="I41" i="10" s="1"/>
  <c r="AI24" i="10"/>
  <c r="K41" i="10" s="1"/>
  <c r="A24" i="10"/>
  <c r="AX23" i="10"/>
  <c r="AV23" i="10"/>
  <c r="AQ23" i="10"/>
  <c r="AP23" i="10"/>
  <c r="AO23" i="10"/>
  <c r="AN23" i="10"/>
  <c r="AK23" i="10"/>
  <c r="I40" i="10" s="1"/>
  <c r="H40" i="10" s="1"/>
  <c r="AI23" i="10"/>
  <c r="K40" i="10" s="1"/>
  <c r="L40" i="10" s="1"/>
  <c r="AH23" i="10"/>
  <c r="AG23" i="10"/>
  <c r="AF23" i="10"/>
  <c r="AE23" i="10"/>
  <c r="AD23" i="10"/>
  <c r="Q23" i="10"/>
  <c r="C23" i="10"/>
  <c r="B23" i="10"/>
  <c r="B24" i="10" s="1"/>
  <c r="AV22" i="10"/>
  <c r="AK22" i="10"/>
  <c r="D41" i="10" s="1"/>
  <c r="AI22" i="10"/>
  <c r="F41" i="10" s="1"/>
  <c r="A22" i="10"/>
  <c r="AX21" i="10"/>
  <c r="AV21" i="10"/>
  <c r="AQ21" i="10"/>
  <c r="AP21" i="10"/>
  <c r="AO21" i="10"/>
  <c r="AN21" i="10"/>
  <c r="AK21" i="10"/>
  <c r="D40" i="10" s="1"/>
  <c r="C40" i="10" s="1"/>
  <c r="AI21" i="10"/>
  <c r="F40" i="10" s="1"/>
  <c r="G40" i="10" s="1"/>
  <c r="AH21" i="10"/>
  <c r="AG21" i="10"/>
  <c r="AF21" i="10"/>
  <c r="AE21" i="10"/>
  <c r="AD21" i="10"/>
  <c r="Q21" i="10"/>
  <c r="C21" i="10"/>
  <c r="B21" i="10"/>
  <c r="B22" i="10" s="1"/>
  <c r="AV20" i="10"/>
  <c r="AK20" i="10"/>
  <c r="I38" i="10" s="1"/>
  <c r="AI20" i="10"/>
  <c r="K38" i="10" s="1"/>
  <c r="A20" i="10"/>
  <c r="AX19" i="10"/>
  <c r="AV19" i="10"/>
  <c r="AQ19" i="10"/>
  <c r="AP19" i="10"/>
  <c r="AO19" i="10"/>
  <c r="AN19" i="10"/>
  <c r="AK19" i="10"/>
  <c r="I37" i="10" s="1"/>
  <c r="H37" i="10" s="1"/>
  <c r="AI19" i="10"/>
  <c r="K37" i="10" s="1"/>
  <c r="L37" i="10" s="1"/>
  <c r="AH19" i="10"/>
  <c r="AG19" i="10"/>
  <c r="AF19" i="10"/>
  <c r="AE19" i="10"/>
  <c r="AD19" i="10"/>
  <c r="Q19" i="10"/>
  <c r="C19" i="10"/>
  <c r="B19" i="10"/>
  <c r="B20" i="10" s="1"/>
  <c r="AV18" i="10"/>
  <c r="AK18" i="10"/>
  <c r="N41" i="10" s="1"/>
  <c r="AI18" i="10"/>
  <c r="P41" i="10" s="1"/>
  <c r="A18" i="10"/>
  <c r="AX17" i="10"/>
  <c r="AV17" i="10"/>
  <c r="AQ17" i="10"/>
  <c r="AP17" i="10"/>
  <c r="AO17" i="10"/>
  <c r="AN17" i="10"/>
  <c r="AK17" i="10"/>
  <c r="N40" i="10" s="1"/>
  <c r="M40" i="10" s="1"/>
  <c r="AI17" i="10"/>
  <c r="P40" i="10" s="1"/>
  <c r="Q40" i="10" s="1"/>
  <c r="AH17" i="10"/>
  <c r="AG17" i="10"/>
  <c r="AF17" i="10"/>
  <c r="AE17" i="10"/>
  <c r="AD17" i="10"/>
  <c r="Q17" i="10"/>
  <c r="C17" i="10"/>
  <c r="B17" i="10"/>
  <c r="B18" i="10" s="1"/>
  <c r="AV16" i="10"/>
  <c r="AK16" i="10"/>
  <c r="D35" i="10" s="1"/>
  <c r="AI16" i="10"/>
  <c r="F35" i="10" s="1"/>
  <c r="A16" i="10"/>
  <c r="AX15" i="10"/>
  <c r="AV15" i="10"/>
  <c r="AQ15" i="10"/>
  <c r="AP15" i="10"/>
  <c r="AO15" i="10"/>
  <c r="AN15" i="10"/>
  <c r="AK15" i="10"/>
  <c r="D34" i="10" s="1"/>
  <c r="C34" i="10" s="1"/>
  <c r="AI15" i="10"/>
  <c r="F34" i="10" s="1"/>
  <c r="G34" i="10" s="1"/>
  <c r="AH15" i="10"/>
  <c r="AG15" i="10"/>
  <c r="AF15" i="10"/>
  <c r="AE15" i="10"/>
  <c r="AD15" i="10"/>
  <c r="Q15" i="10"/>
  <c r="C15" i="10"/>
  <c r="B15" i="10"/>
  <c r="B16" i="10" s="1"/>
  <c r="G10" i="10"/>
  <c r="AT9" i="10"/>
  <c r="Q9" i="10"/>
  <c r="AR23" i="10" s="1"/>
  <c r="H9" i="10"/>
  <c r="B40" i="10" s="1"/>
  <c r="AT8" i="10"/>
  <c r="Q8" i="10"/>
  <c r="AR25" i="10" s="1"/>
  <c r="H8" i="10"/>
  <c r="B37" i="10" s="1"/>
  <c r="AT7" i="10"/>
  <c r="Q7" i="10"/>
  <c r="AB23" i="10" s="1"/>
  <c r="H7" i="10"/>
  <c r="B34" i="10" s="1"/>
  <c r="AT6" i="10"/>
  <c r="Q6" i="10"/>
  <c r="AB25" i="10" s="1"/>
  <c r="H6" i="10"/>
  <c r="B31" i="10" s="1"/>
  <c r="AG4" i="10"/>
  <c r="Y4" i="10"/>
  <c r="B1" i="10"/>
  <c r="AT40" i="9"/>
  <c r="Z39" i="9"/>
  <c r="X39" i="9"/>
  <c r="Z38" i="9"/>
  <c r="AA38" i="9" s="1"/>
  <c r="X38" i="9"/>
  <c r="W38" i="9"/>
  <c r="W40" i="9" s="1"/>
  <c r="A38" i="9"/>
  <c r="AT37" i="9"/>
  <c r="Z36" i="9"/>
  <c r="X36" i="9"/>
  <c r="Z35" i="9"/>
  <c r="AA35" i="9" s="1"/>
  <c r="X35" i="9"/>
  <c r="W35" i="9"/>
  <c r="W37" i="9" s="1"/>
  <c r="A35" i="9"/>
  <c r="AT34" i="9"/>
  <c r="Z33" i="9"/>
  <c r="X33" i="9"/>
  <c r="Z32" i="9"/>
  <c r="AA32" i="9" s="1"/>
  <c r="X32" i="9"/>
  <c r="W32" i="9"/>
  <c r="W34" i="9" s="1"/>
  <c r="A32" i="9"/>
  <c r="AT31" i="9"/>
  <c r="Z30" i="9"/>
  <c r="X30" i="9"/>
  <c r="Z29" i="9"/>
  <c r="AA29" i="9" s="1"/>
  <c r="X29" i="9"/>
  <c r="W29" i="9"/>
  <c r="W31" i="9" s="1"/>
  <c r="A29" i="9"/>
  <c r="W28" i="9"/>
  <c r="W27" i="9"/>
  <c r="R27" i="9"/>
  <c r="M27" i="9"/>
  <c r="H27" i="9"/>
  <c r="C27" i="9"/>
  <c r="AV24" i="9"/>
  <c r="AK24" i="9"/>
  <c r="D36" i="9" s="1"/>
  <c r="AI24" i="9"/>
  <c r="F36" i="9" s="1"/>
  <c r="A24" i="9"/>
  <c r="AX23" i="9"/>
  <c r="AV23" i="9"/>
  <c r="AS23" i="9"/>
  <c r="AQ23" i="9"/>
  <c r="AP23" i="9"/>
  <c r="AO23" i="9"/>
  <c r="AN23" i="9"/>
  <c r="AK23" i="9"/>
  <c r="D35" i="9" s="1"/>
  <c r="C35" i="9" s="1"/>
  <c r="AI23" i="9"/>
  <c r="F35" i="9" s="1"/>
  <c r="G35" i="9" s="1"/>
  <c r="AH23" i="9"/>
  <c r="AG23" i="9"/>
  <c r="AF23" i="9"/>
  <c r="AE23" i="9"/>
  <c r="AD23" i="9"/>
  <c r="AA23" i="9"/>
  <c r="Q23" i="9"/>
  <c r="C23" i="9"/>
  <c r="B23" i="9"/>
  <c r="B24" i="9" s="1"/>
  <c r="AV22" i="9"/>
  <c r="AK22" i="9"/>
  <c r="I39" i="9" s="1"/>
  <c r="AI22" i="9"/>
  <c r="K39" i="9" s="1"/>
  <c r="A22" i="9"/>
  <c r="AX21" i="9"/>
  <c r="AV21" i="9"/>
  <c r="AS21" i="9"/>
  <c r="AQ21" i="9"/>
  <c r="AP21" i="9"/>
  <c r="AO21" i="9"/>
  <c r="AN21" i="9"/>
  <c r="AK21" i="9"/>
  <c r="I38" i="9" s="1"/>
  <c r="H38" i="9" s="1"/>
  <c r="AI21" i="9"/>
  <c r="K38" i="9" s="1"/>
  <c r="L38" i="9" s="1"/>
  <c r="AH21" i="9"/>
  <c r="AG21" i="9"/>
  <c r="AF21" i="9"/>
  <c r="AE21" i="9"/>
  <c r="AD21" i="9"/>
  <c r="AA21" i="9"/>
  <c r="Q21" i="9"/>
  <c r="C21" i="9"/>
  <c r="B21" i="9"/>
  <c r="B22" i="9" s="1"/>
  <c r="AV20" i="9"/>
  <c r="AK20" i="9"/>
  <c r="D39" i="9" s="1"/>
  <c r="AI20" i="9"/>
  <c r="F39" i="9" s="1"/>
  <c r="A20" i="9"/>
  <c r="AX19" i="9"/>
  <c r="AV19" i="9"/>
  <c r="AS19" i="9"/>
  <c r="AQ19" i="9"/>
  <c r="AP19" i="9"/>
  <c r="AO19" i="9"/>
  <c r="AN19" i="9"/>
  <c r="AK19" i="9"/>
  <c r="D38" i="9" s="1"/>
  <c r="C38" i="9" s="1"/>
  <c r="AI19" i="9"/>
  <c r="F38" i="9" s="1"/>
  <c r="G38" i="9" s="1"/>
  <c r="AH19" i="9"/>
  <c r="AG19" i="9"/>
  <c r="AF19" i="9"/>
  <c r="AE19" i="9"/>
  <c r="AD19" i="9"/>
  <c r="AA19" i="9"/>
  <c r="Q19" i="9"/>
  <c r="C19" i="9"/>
  <c r="B19" i="9"/>
  <c r="B20" i="9" s="1"/>
  <c r="AV18" i="9"/>
  <c r="AK18" i="9"/>
  <c r="I36" i="9" s="1"/>
  <c r="AI18" i="9"/>
  <c r="A18" i="9"/>
  <c r="AX17" i="9"/>
  <c r="AV17" i="9"/>
  <c r="AS17" i="9"/>
  <c r="AQ17" i="9"/>
  <c r="AP17" i="9"/>
  <c r="AO17" i="9"/>
  <c r="AN17" i="9"/>
  <c r="AK17" i="9"/>
  <c r="I35" i="9" s="1"/>
  <c r="H35" i="9" s="1"/>
  <c r="AI17" i="9"/>
  <c r="K35" i="9" s="1"/>
  <c r="AH17" i="9"/>
  <c r="AG17" i="9"/>
  <c r="AF17" i="9"/>
  <c r="AE17" i="9"/>
  <c r="AD17" i="9"/>
  <c r="AA17" i="9"/>
  <c r="Q17" i="9"/>
  <c r="C17" i="9"/>
  <c r="B17" i="9"/>
  <c r="B18" i="9" s="1"/>
  <c r="AV16" i="9"/>
  <c r="AK16" i="9"/>
  <c r="N39" i="9" s="1"/>
  <c r="AI16" i="9"/>
  <c r="P39" i="9" s="1"/>
  <c r="A16" i="9"/>
  <c r="AX15" i="9"/>
  <c r="AV15" i="9"/>
  <c r="AS15" i="9"/>
  <c r="AQ15" i="9"/>
  <c r="AP15" i="9"/>
  <c r="AO15" i="9"/>
  <c r="AN15" i="9"/>
  <c r="AK15" i="9"/>
  <c r="N38" i="9" s="1"/>
  <c r="M38" i="9" s="1"/>
  <c r="AI15" i="9"/>
  <c r="P38" i="9" s="1"/>
  <c r="Q38" i="9" s="1"/>
  <c r="AH15" i="9"/>
  <c r="AG15" i="9"/>
  <c r="AF15" i="9"/>
  <c r="AE15" i="9"/>
  <c r="AD15" i="9"/>
  <c r="AA15" i="9"/>
  <c r="Q15" i="9"/>
  <c r="C15" i="9"/>
  <c r="B15" i="9"/>
  <c r="B16" i="9" s="1"/>
  <c r="AV14" i="9"/>
  <c r="AK14" i="9"/>
  <c r="D33" i="9" s="1"/>
  <c r="AI14" i="9"/>
  <c r="F33" i="9" s="1"/>
  <c r="A14" i="9"/>
  <c r="AX13" i="9"/>
  <c r="AV13" i="9"/>
  <c r="AS13" i="9"/>
  <c r="AQ13" i="9"/>
  <c r="AP13" i="9"/>
  <c r="AO13" i="9"/>
  <c r="AN13" i="9"/>
  <c r="AK13" i="9"/>
  <c r="D32" i="9" s="1"/>
  <c r="C32" i="9" s="1"/>
  <c r="AI13" i="9"/>
  <c r="F32" i="9" s="1"/>
  <c r="G32" i="9" s="1"/>
  <c r="AH13" i="9"/>
  <c r="AG13" i="9"/>
  <c r="AF13" i="9"/>
  <c r="AE13" i="9"/>
  <c r="AD13" i="9"/>
  <c r="AA13" i="9"/>
  <c r="Q13" i="9"/>
  <c r="C13" i="9"/>
  <c r="B13" i="9"/>
  <c r="B14" i="9" s="1"/>
  <c r="AT9" i="9"/>
  <c r="Q9" i="9"/>
  <c r="AR21" i="9" s="1"/>
  <c r="H9" i="9"/>
  <c r="B38" i="9" s="1"/>
  <c r="G9" i="9"/>
  <c r="AT8" i="9"/>
  <c r="Q8" i="9"/>
  <c r="AR23" i="9" s="1"/>
  <c r="H8" i="9"/>
  <c r="B35" i="9" s="1"/>
  <c r="G8" i="9"/>
  <c r="AT7" i="9"/>
  <c r="Q7" i="9"/>
  <c r="AB21" i="9" s="1"/>
  <c r="H7" i="9"/>
  <c r="B32" i="9" s="1"/>
  <c r="G7" i="9"/>
  <c r="AT6" i="9"/>
  <c r="Q6" i="9"/>
  <c r="AB23" i="9" s="1"/>
  <c r="H6" i="9"/>
  <c r="B29" i="9" s="1"/>
  <c r="AG4" i="9"/>
  <c r="Y4" i="9"/>
  <c r="B1" i="9"/>
  <c r="AI76" i="8"/>
  <c r="AH76" i="8"/>
  <c r="R76" i="8"/>
  <c r="Q76" i="8"/>
  <c r="AJ73" i="8"/>
  <c r="AJ76" i="8" s="1"/>
  <c r="AG73" i="8"/>
  <c r="AG76" i="8" s="1"/>
  <c r="S73" i="8"/>
  <c r="S76" i="8" s="1"/>
  <c r="P73" i="8"/>
  <c r="P76" i="8" s="1"/>
  <c r="F73" i="8"/>
  <c r="B73" i="8"/>
  <c r="A73" i="8"/>
  <c r="A72" i="8"/>
  <c r="AI71" i="8"/>
  <c r="AH71" i="8"/>
  <c r="R71" i="8"/>
  <c r="Q71" i="8"/>
  <c r="AJ68" i="8"/>
  <c r="AJ71" i="8" s="1"/>
  <c r="AG68" i="8"/>
  <c r="AG71" i="8" s="1"/>
  <c r="S68" i="8"/>
  <c r="S71" i="8" s="1"/>
  <c r="P68" i="8"/>
  <c r="P71" i="8" s="1"/>
  <c r="F68" i="8"/>
  <c r="B68" i="8"/>
  <c r="A68" i="8"/>
  <c r="A67" i="8"/>
  <c r="AI65" i="8"/>
  <c r="AH65" i="8"/>
  <c r="R65" i="8"/>
  <c r="Q65" i="8"/>
  <c r="AL62" i="8"/>
  <c r="AK62" i="8"/>
  <c r="AJ62" i="8"/>
  <c r="AJ65" i="8" s="1"/>
  <c r="AG62" i="8"/>
  <c r="S62" i="8"/>
  <c r="S65" i="8" s="1"/>
  <c r="P62" i="8"/>
  <c r="K62" i="8"/>
  <c r="F62" i="8"/>
  <c r="B62" i="8"/>
  <c r="A62" i="8"/>
  <c r="AL57" i="8"/>
  <c r="AK57" i="8"/>
  <c r="AJ57" i="8"/>
  <c r="AJ60" i="8" s="1"/>
  <c r="AG57" i="8"/>
  <c r="S57" i="8"/>
  <c r="S60" i="8" s="1"/>
  <c r="P57" i="8"/>
  <c r="K57" i="8"/>
  <c r="J57" i="8"/>
  <c r="F57" i="8"/>
  <c r="B57" i="8"/>
  <c r="AL52" i="8"/>
  <c r="AK52" i="8"/>
  <c r="AJ52" i="8"/>
  <c r="AJ55" i="8" s="1"/>
  <c r="AG52" i="8"/>
  <c r="AG55" i="8" s="1"/>
  <c r="AB52" i="8"/>
  <c r="AA52" i="8"/>
  <c r="U52" i="8"/>
  <c r="T52" i="8"/>
  <c r="S52" i="8"/>
  <c r="S55" i="8" s="1"/>
  <c r="P52" i="8"/>
  <c r="P55" i="8" s="1"/>
  <c r="K52" i="8"/>
  <c r="J52" i="8"/>
  <c r="F52" i="8"/>
  <c r="B52" i="8"/>
  <c r="A52" i="8"/>
  <c r="R50" i="8"/>
  <c r="Q50" i="8"/>
  <c r="AL47" i="8"/>
  <c r="AK47" i="8"/>
  <c r="AJ47" i="8"/>
  <c r="AJ50" i="8" s="1"/>
  <c r="AG47" i="8"/>
  <c r="AG50" i="8" s="1"/>
  <c r="AB47" i="8"/>
  <c r="AA47" i="8"/>
  <c r="U47" i="8"/>
  <c r="T47" i="8"/>
  <c r="S47" i="8"/>
  <c r="S50" i="8" s="1"/>
  <c r="P47" i="8"/>
  <c r="P50" i="8" s="1"/>
  <c r="K47" i="8"/>
  <c r="F47" i="8"/>
  <c r="B47" i="8"/>
  <c r="A47" i="8"/>
  <c r="AL43" i="8"/>
  <c r="AK43" i="8"/>
  <c r="AJ43" i="8"/>
  <c r="AG43" i="8"/>
  <c r="AB43" i="8"/>
  <c r="AA43" i="8"/>
  <c r="U43" i="8"/>
  <c r="T43" i="8"/>
  <c r="S43" i="8"/>
  <c r="P43" i="8"/>
  <c r="K43" i="8"/>
  <c r="J43" i="8"/>
  <c r="F43" i="8"/>
  <c r="B43" i="8"/>
  <c r="A43" i="8"/>
  <c r="AL40" i="8"/>
  <c r="AK40" i="8"/>
  <c r="AJ40" i="8"/>
  <c r="AG40" i="8"/>
  <c r="AB40" i="8"/>
  <c r="AA40" i="8"/>
  <c r="U40" i="8"/>
  <c r="T40" i="8"/>
  <c r="S40" i="8"/>
  <c r="P40" i="8"/>
  <c r="K40" i="8"/>
  <c r="J40" i="8"/>
  <c r="F40" i="8"/>
  <c r="B40" i="8"/>
  <c r="A40" i="8"/>
  <c r="AL37" i="8"/>
  <c r="AK37" i="8"/>
  <c r="AJ37" i="8"/>
  <c r="AG37" i="8"/>
  <c r="AB37" i="8"/>
  <c r="AA37" i="8"/>
  <c r="U37" i="8"/>
  <c r="T37" i="8"/>
  <c r="S37" i="8"/>
  <c r="P37" i="8"/>
  <c r="K37" i="8"/>
  <c r="J37" i="8"/>
  <c r="F37" i="8"/>
  <c r="B37" i="8"/>
  <c r="A37" i="8"/>
  <c r="AL33" i="8"/>
  <c r="AK33" i="8"/>
  <c r="AJ33" i="8"/>
  <c r="AG33" i="8"/>
  <c r="AB33" i="8"/>
  <c r="AA33" i="8"/>
  <c r="U33" i="8"/>
  <c r="T33" i="8"/>
  <c r="S33" i="8"/>
  <c r="P33" i="8"/>
  <c r="K33" i="8"/>
  <c r="J33" i="8"/>
  <c r="F33" i="8"/>
  <c r="B33" i="8"/>
  <c r="A33" i="8"/>
  <c r="AL30" i="8"/>
  <c r="AK30" i="8"/>
  <c r="AJ30" i="8"/>
  <c r="AG30" i="8"/>
  <c r="AB30" i="8"/>
  <c r="AA30" i="8"/>
  <c r="U30" i="8"/>
  <c r="T30" i="8"/>
  <c r="S30" i="8"/>
  <c r="P30" i="8"/>
  <c r="K30" i="8"/>
  <c r="J30" i="8"/>
  <c r="F30" i="8"/>
  <c r="B30" i="8"/>
  <c r="A30" i="8"/>
  <c r="AL26" i="8"/>
  <c r="AK26" i="8"/>
  <c r="AJ26" i="8"/>
  <c r="AG26" i="8"/>
  <c r="AB26" i="8"/>
  <c r="AA26" i="8"/>
  <c r="U26" i="8"/>
  <c r="T26" i="8"/>
  <c r="S26" i="8"/>
  <c r="P26" i="8"/>
  <c r="K26" i="8"/>
  <c r="J26" i="8"/>
  <c r="F26" i="8"/>
  <c r="B26" i="8"/>
  <c r="A25" i="8"/>
  <c r="AL23" i="8"/>
  <c r="AK23" i="8"/>
  <c r="AJ23" i="8"/>
  <c r="AG23" i="8"/>
  <c r="AB23" i="8"/>
  <c r="AA23" i="8"/>
  <c r="U23" i="8"/>
  <c r="T23" i="8"/>
  <c r="S23" i="8"/>
  <c r="P23" i="8"/>
  <c r="K23" i="8"/>
  <c r="J23" i="8"/>
  <c r="F23" i="8"/>
  <c r="B23" i="8"/>
  <c r="A23" i="8"/>
  <c r="A21" i="8"/>
  <c r="A22" i="8" s="1"/>
  <c r="AL20" i="8"/>
  <c r="AK20" i="8"/>
  <c r="AJ20" i="8"/>
  <c r="AG20" i="8"/>
  <c r="AB20" i="8"/>
  <c r="AA20" i="8"/>
  <c r="U20" i="8"/>
  <c r="T20" i="8"/>
  <c r="S20" i="8"/>
  <c r="P20" i="8"/>
  <c r="K20" i="8"/>
  <c r="J20" i="8"/>
  <c r="F20" i="8"/>
  <c r="B20" i="8"/>
  <c r="A20" i="8"/>
  <c r="AL16" i="8"/>
  <c r="AK16" i="8"/>
  <c r="AJ16" i="8"/>
  <c r="AG16" i="8"/>
  <c r="AB16" i="8"/>
  <c r="AA16" i="8"/>
  <c r="U16" i="8"/>
  <c r="T16" i="8"/>
  <c r="S16" i="8"/>
  <c r="P16" i="8"/>
  <c r="K16" i="8"/>
  <c r="J16" i="8"/>
  <c r="F16" i="8"/>
  <c r="B16" i="8"/>
  <c r="AL13" i="8"/>
  <c r="AK13" i="8"/>
  <c r="AJ13" i="8"/>
  <c r="AG13" i="8"/>
  <c r="AB13" i="8"/>
  <c r="AA13" i="8"/>
  <c r="U13" i="8"/>
  <c r="T13" i="8"/>
  <c r="S13" i="8"/>
  <c r="P13" i="8"/>
  <c r="K13" i="8"/>
  <c r="J13" i="8"/>
  <c r="F13" i="8"/>
  <c r="B13" i="8"/>
  <c r="AL10" i="8"/>
  <c r="AK10" i="8"/>
  <c r="AJ10" i="8"/>
  <c r="AG10" i="8"/>
  <c r="AB10" i="8"/>
  <c r="AA10" i="8"/>
  <c r="U10" i="8"/>
  <c r="T10" i="8"/>
  <c r="S10" i="8"/>
  <c r="P10" i="8"/>
  <c r="K10" i="8"/>
  <c r="J10" i="8"/>
  <c r="F10" i="8"/>
  <c r="B10" i="8"/>
  <c r="A9" i="8"/>
  <c r="A57" i="8" s="1"/>
  <c r="A58" i="8" s="1"/>
  <c r="AL7" i="8"/>
  <c r="AK7" i="8"/>
  <c r="AJ7" i="8"/>
  <c r="AG7" i="8"/>
  <c r="AB7" i="8"/>
  <c r="AA7" i="8"/>
  <c r="U7" i="8"/>
  <c r="T7" i="8"/>
  <c r="S7" i="8"/>
  <c r="P7" i="8"/>
  <c r="K7" i="8"/>
  <c r="J7" i="8"/>
  <c r="F7" i="8"/>
  <c r="B7" i="8"/>
  <c r="AH2" i="8"/>
  <c r="A1" i="8"/>
  <c r="AA57" i="8" l="1"/>
  <c r="U57" i="8"/>
  <c r="AB57" i="8"/>
  <c r="T57" i="8"/>
  <c r="AA62" i="8"/>
  <c r="U62" i="8"/>
  <c r="AB62" i="8"/>
  <c r="T62" i="8"/>
  <c r="AT29" i="9"/>
  <c r="C28" i="9"/>
  <c r="AT32" i="9"/>
  <c r="H28" i="9"/>
  <c r="AT35" i="9"/>
  <c r="M28" i="9"/>
  <c r="AT38" i="9"/>
  <c r="R28" i="9"/>
  <c r="C34" i="9"/>
  <c r="M40" i="9"/>
  <c r="AL38" i="9"/>
  <c r="C40" i="9"/>
  <c r="AJ38" i="9"/>
  <c r="AN38" i="9" s="1"/>
  <c r="H40" i="9"/>
  <c r="C37" i="9"/>
  <c r="AT31" i="10"/>
  <c r="C30" i="10"/>
  <c r="AT34" i="10"/>
  <c r="H30" i="10"/>
  <c r="AT37" i="10"/>
  <c r="M30" i="10"/>
  <c r="AT40" i="10"/>
  <c r="R30" i="10"/>
  <c r="C36" i="10"/>
  <c r="M42" i="10"/>
  <c r="H39" i="10"/>
  <c r="C42" i="10"/>
  <c r="H42" i="10"/>
  <c r="C39" i="10"/>
  <c r="A26" i="8"/>
  <c r="Q49" i="8"/>
  <c r="AH49" i="8"/>
  <c r="Q54" i="8"/>
  <c r="AH54" i="8"/>
  <c r="Q59" i="8"/>
  <c r="AH59" i="8"/>
  <c r="P60" i="8"/>
  <c r="AG60" i="8"/>
  <c r="Q64" i="8"/>
  <c r="AH64" i="8"/>
  <c r="P65" i="8"/>
  <c r="AG65" i="8"/>
  <c r="K68" i="8"/>
  <c r="U68" i="8"/>
  <c r="Q70" i="8"/>
  <c r="AH70" i="8"/>
  <c r="K73" i="8"/>
  <c r="U73" i="8"/>
  <c r="Q75" i="8"/>
  <c r="AH75" i="8"/>
  <c r="Z10" i="9"/>
  <c r="AG10" i="9"/>
  <c r="AB13" i="9"/>
  <c r="AC13" i="9"/>
  <c r="AL13" i="9"/>
  <c r="AM13" i="9"/>
  <c r="AR13" i="9"/>
  <c r="AW13" i="9"/>
  <c r="AW14" i="9"/>
  <c r="AX14" i="9"/>
  <c r="AB15" i="9"/>
  <c r="AC15" i="9"/>
  <c r="AL15" i="9"/>
  <c r="AM15" i="9"/>
  <c r="AR15" i="9"/>
  <c r="AW15" i="9"/>
  <c r="AW16" i="9"/>
  <c r="AX16" i="9"/>
  <c r="AB17" i="9"/>
  <c r="AC17" i="9"/>
  <c r="AL17" i="9"/>
  <c r="AM17" i="9"/>
  <c r="AR17" i="9"/>
  <c r="AW17" i="9"/>
  <c r="AW18" i="9"/>
  <c r="AX18" i="9"/>
  <c r="AB19" i="9"/>
  <c r="AC19" i="9"/>
  <c r="AL19" i="9"/>
  <c r="AM19" i="9"/>
  <c r="AR19" i="9"/>
  <c r="AW19" i="9"/>
  <c r="AW20" i="9"/>
  <c r="AX20" i="9"/>
  <c r="AC21" i="9"/>
  <c r="AL21" i="9"/>
  <c r="AM21" i="9"/>
  <c r="AW21" i="9"/>
  <c r="AW22" i="9"/>
  <c r="AX22" i="9"/>
  <c r="AC23" i="9"/>
  <c r="AL23" i="9"/>
  <c r="AM23" i="9"/>
  <c r="AW23" i="9"/>
  <c r="AW24" i="9"/>
  <c r="AX24" i="9"/>
  <c r="I29" i="9"/>
  <c r="K29" i="9"/>
  <c r="N29" i="9"/>
  <c r="P29" i="9"/>
  <c r="S29" i="9"/>
  <c r="U29" i="9"/>
  <c r="I30" i="9"/>
  <c r="K30" i="9"/>
  <c r="N30" i="9"/>
  <c r="P30" i="9"/>
  <c r="S30" i="9"/>
  <c r="U30" i="9"/>
  <c r="N32" i="9"/>
  <c r="P32" i="9"/>
  <c r="S32" i="9"/>
  <c r="U32" i="9"/>
  <c r="N33" i="9"/>
  <c r="P33" i="9"/>
  <c r="S33" i="9"/>
  <c r="U33" i="9"/>
  <c r="S35" i="9"/>
  <c r="U35" i="9"/>
  <c r="K36" i="9"/>
  <c r="L35" i="9" s="1"/>
  <c r="S36" i="9"/>
  <c r="U36" i="9"/>
  <c r="P10" i="10"/>
  <c r="Z10" i="10"/>
  <c r="AG10" i="10"/>
  <c r="AB15" i="10"/>
  <c r="AC15" i="10"/>
  <c r="AL15" i="10"/>
  <c r="AM15" i="10"/>
  <c r="AR15" i="10"/>
  <c r="AW15" i="10"/>
  <c r="AW16" i="10"/>
  <c r="AX16" i="10"/>
  <c r="AB17" i="10"/>
  <c r="AC17" i="10"/>
  <c r="AL17" i="10"/>
  <c r="AM17" i="10"/>
  <c r="AR17" i="10"/>
  <c r="AW17" i="10"/>
  <c r="AW18" i="10"/>
  <c r="AX18" i="10"/>
  <c r="AB19" i="10"/>
  <c r="AC19" i="10"/>
  <c r="AL19" i="10"/>
  <c r="AM19" i="10"/>
  <c r="AR19" i="10"/>
  <c r="AW19" i="10"/>
  <c r="AW20" i="10"/>
  <c r="AX20" i="10"/>
  <c r="AB21" i="10"/>
  <c r="AC21" i="10"/>
  <c r="AL21" i="10"/>
  <c r="AM21" i="10"/>
  <c r="AR21" i="10"/>
  <c r="AW21" i="10"/>
  <c r="AW22" i="10"/>
  <c r="AX22" i="10"/>
  <c r="AC23" i="10"/>
  <c r="AL23" i="10"/>
  <c r="AM23" i="10"/>
  <c r="AW23" i="10"/>
  <c r="AW24" i="10"/>
  <c r="AX24" i="10"/>
  <c r="AC25" i="10"/>
  <c r="AL25" i="10"/>
  <c r="AM25" i="10"/>
  <c r="AW25" i="10"/>
  <c r="AW26" i="10"/>
  <c r="AX26" i="10"/>
  <c r="I31" i="10"/>
  <c r="K31" i="10"/>
  <c r="N31" i="10"/>
  <c r="P31" i="10"/>
  <c r="S31" i="10"/>
  <c r="U31" i="10"/>
  <c r="X31" i="10"/>
  <c r="Z31" i="10"/>
  <c r="I32" i="10"/>
  <c r="K32" i="10"/>
  <c r="N32" i="10"/>
  <c r="P32" i="10"/>
  <c r="S32" i="10"/>
  <c r="U32" i="10"/>
  <c r="X32" i="10"/>
  <c r="Z32" i="10"/>
  <c r="N34" i="10"/>
  <c r="P34" i="10"/>
  <c r="S34" i="10"/>
  <c r="U34" i="10"/>
  <c r="X34" i="10"/>
  <c r="Z34" i="10"/>
  <c r="N35" i="10"/>
  <c r="P35" i="10"/>
  <c r="S35" i="10"/>
  <c r="U35" i="10"/>
  <c r="X35" i="10"/>
  <c r="Z35" i="10"/>
  <c r="S37" i="10"/>
  <c r="U37" i="10"/>
  <c r="X37" i="10"/>
  <c r="Z37" i="10"/>
  <c r="S38" i="10"/>
  <c r="U38" i="10"/>
  <c r="X38" i="10"/>
  <c r="Z38" i="10"/>
  <c r="X40" i="10"/>
  <c r="Z40" i="10"/>
  <c r="AA40" i="10" s="1"/>
  <c r="AL40" i="10" s="1"/>
  <c r="X41" i="10"/>
  <c r="U44" i="10"/>
  <c r="S44" i="10"/>
  <c r="P44" i="10"/>
  <c r="N44" i="10"/>
  <c r="K44" i="10"/>
  <c r="I44" i="10"/>
  <c r="F44" i="10"/>
  <c r="D44" i="10"/>
  <c r="AT43" i="10"/>
  <c r="U43" i="10"/>
  <c r="V43" i="10" s="1"/>
  <c r="S43" i="10"/>
  <c r="R43" i="10" s="1"/>
  <c r="R45" i="10" s="1"/>
  <c r="P43" i="10"/>
  <c r="Q43" i="10" s="1"/>
  <c r="N43" i="10"/>
  <c r="M43" i="10" s="1"/>
  <c r="M45" i="10" s="1"/>
  <c r="K43" i="10"/>
  <c r="L43" i="10" s="1"/>
  <c r="I43" i="10"/>
  <c r="H43" i="10" s="1"/>
  <c r="H45" i="10" s="1"/>
  <c r="F43" i="10"/>
  <c r="G43" i="10" s="1"/>
  <c r="AL43" i="10" s="1"/>
  <c r="D43" i="10"/>
  <c r="C43" i="10" s="1"/>
  <c r="AT31" i="11"/>
  <c r="C30" i="11"/>
  <c r="AT34" i="11"/>
  <c r="H30" i="11"/>
  <c r="AT37" i="11"/>
  <c r="M30" i="11"/>
  <c r="AT40" i="11"/>
  <c r="R30" i="11"/>
  <c r="C36" i="11"/>
  <c r="M42" i="11"/>
  <c r="H39" i="11"/>
  <c r="C42" i="11"/>
  <c r="H42" i="11"/>
  <c r="U44" i="11"/>
  <c r="P10" i="11"/>
  <c r="Z10" i="11"/>
  <c r="AG10" i="11"/>
  <c r="AB15" i="11"/>
  <c r="AL15" i="11"/>
  <c r="AR15" i="11"/>
  <c r="AW15" i="11"/>
  <c r="AW16" i="11"/>
  <c r="AX16" i="11"/>
  <c r="AB17" i="11"/>
  <c r="AL17" i="11"/>
  <c r="AR17" i="11"/>
  <c r="AW17" i="11"/>
  <c r="AW18" i="11"/>
  <c r="AX18" i="11"/>
  <c r="AB19" i="11"/>
  <c r="AL19" i="11"/>
  <c r="AR19" i="11"/>
  <c r="AW19" i="11"/>
  <c r="AW20" i="11"/>
  <c r="AX20" i="11"/>
  <c r="AB21" i="11"/>
  <c r="AL21" i="11"/>
  <c r="AR21" i="11"/>
  <c r="AW21" i="11"/>
  <c r="AW22" i="11"/>
  <c r="AX22" i="11"/>
  <c r="AL23" i="11"/>
  <c r="AW23" i="11"/>
  <c r="AW24" i="11"/>
  <c r="AX24" i="11"/>
  <c r="AL25" i="11"/>
  <c r="AW25" i="11"/>
  <c r="AW26" i="11"/>
  <c r="AX26" i="11"/>
  <c r="I31" i="11"/>
  <c r="K31" i="11"/>
  <c r="N31" i="11"/>
  <c r="P31" i="11"/>
  <c r="S31" i="11"/>
  <c r="U31" i="11"/>
  <c r="X31" i="11"/>
  <c r="Z31" i="11"/>
  <c r="I32" i="11"/>
  <c r="K32" i="11"/>
  <c r="N32" i="11"/>
  <c r="P32" i="11"/>
  <c r="S32" i="11"/>
  <c r="U32" i="11"/>
  <c r="X32" i="11"/>
  <c r="Z32" i="11"/>
  <c r="N34" i="11"/>
  <c r="P34" i="11"/>
  <c r="S34" i="11"/>
  <c r="U34" i="11"/>
  <c r="X34" i="11"/>
  <c r="Z34" i="11"/>
  <c r="N35" i="11"/>
  <c r="P35" i="11"/>
  <c r="S35" i="11"/>
  <c r="U35" i="11"/>
  <c r="X35" i="11"/>
  <c r="Z35" i="11"/>
  <c r="S37" i="11"/>
  <c r="U37" i="11"/>
  <c r="X37" i="11"/>
  <c r="Z37" i="11"/>
  <c r="F38" i="11"/>
  <c r="G37" i="11" s="1"/>
  <c r="S38" i="11"/>
  <c r="U38" i="11"/>
  <c r="X38" i="11"/>
  <c r="Z38" i="11"/>
  <c r="X40" i="11"/>
  <c r="Z40" i="11"/>
  <c r="AA40" i="11" s="1"/>
  <c r="AL40" i="11" s="1"/>
  <c r="X41" i="11"/>
  <c r="D43" i="11"/>
  <c r="F43" i="11"/>
  <c r="I43" i="11"/>
  <c r="K43" i="11"/>
  <c r="N43" i="11"/>
  <c r="P43" i="11"/>
  <c r="S43" i="11"/>
  <c r="U43" i="11"/>
  <c r="V43" i="11" s="1"/>
  <c r="AT43" i="11"/>
  <c r="D44" i="11"/>
  <c r="F44" i="11"/>
  <c r="I44" i="11"/>
  <c r="K44" i="11"/>
  <c r="N44" i="11"/>
  <c r="P44" i="11"/>
  <c r="S44" i="11"/>
  <c r="AT31" i="12"/>
  <c r="C30" i="12"/>
  <c r="AB25" i="12"/>
  <c r="AB21" i="12"/>
  <c r="AT34" i="12"/>
  <c r="H30" i="12"/>
  <c r="AB23" i="12"/>
  <c r="AB19" i="12"/>
  <c r="AT37" i="12"/>
  <c r="M30" i="12"/>
  <c r="AR25" i="12"/>
  <c r="AR19" i="12"/>
  <c r="AT40" i="12"/>
  <c r="R30" i="12"/>
  <c r="AR23" i="12"/>
  <c r="AR21" i="12"/>
  <c r="P10" i="12"/>
  <c r="Z10" i="12"/>
  <c r="AG10" i="12"/>
  <c r="AB15" i="12"/>
  <c r="F34" i="12"/>
  <c r="I31" i="12"/>
  <c r="D34" i="12"/>
  <c r="K31" i="12"/>
  <c r="AL15" i="12"/>
  <c r="AR15" i="12"/>
  <c r="AW15" i="12"/>
  <c r="F35" i="12"/>
  <c r="I32" i="12"/>
  <c r="D35" i="12"/>
  <c r="K32" i="12"/>
  <c r="AW16" i="12"/>
  <c r="AX16" i="12"/>
  <c r="AB17" i="12"/>
  <c r="P40" i="12"/>
  <c r="S37" i="12"/>
  <c r="N40" i="12"/>
  <c r="U37" i="12"/>
  <c r="AL17" i="12"/>
  <c r="AR17" i="12"/>
  <c r="AW17" i="12"/>
  <c r="P41" i="12"/>
  <c r="S38" i="12"/>
  <c r="N41" i="12"/>
  <c r="U38" i="12"/>
  <c r="AW18" i="12"/>
  <c r="AX18" i="12"/>
  <c r="H39" i="12"/>
  <c r="AL19" i="12"/>
  <c r="AW19" i="12"/>
  <c r="AW20" i="12"/>
  <c r="AX20" i="12"/>
  <c r="C42" i="12"/>
  <c r="AL21" i="12"/>
  <c r="AW21" i="12"/>
  <c r="AW22" i="12"/>
  <c r="AX22" i="12"/>
  <c r="H42" i="12"/>
  <c r="AL23" i="12"/>
  <c r="AW23" i="12"/>
  <c r="AW24" i="12"/>
  <c r="AX24" i="12"/>
  <c r="AL25" i="12"/>
  <c r="AW25" i="12"/>
  <c r="AW26" i="12"/>
  <c r="AX26" i="12"/>
  <c r="Z41" i="12"/>
  <c r="X41" i="12"/>
  <c r="Z40" i="12"/>
  <c r="AA40" i="12" s="1"/>
  <c r="X40" i="12"/>
  <c r="W40" i="12" s="1"/>
  <c r="W42" i="12" s="1"/>
  <c r="Z38" i="12"/>
  <c r="X38" i="12"/>
  <c r="N31" i="12"/>
  <c r="P31" i="12"/>
  <c r="S31" i="12"/>
  <c r="U31" i="12"/>
  <c r="X31" i="12"/>
  <c r="Z31" i="12"/>
  <c r="N32" i="12"/>
  <c r="P32" i="12"/>
  <c r="S32" i="12"/>
  <c r="U32" i="12"/>
  <c r="X32" i="12"/>
  <c r="Z32" i="12"/>
  <c r="N34" i="12"/>
  <c r="P34" i="12"/>
  <c r="S34" i="12"/>
  <c r="U34" i="12"/>
  <c r="X34" i="12"/>
  <c r="Z34" i="12"/>
  <c r="N35" i="12"/>
  <c r="P35" i="12"/>
  <c r="S35" i="12"/>
  <c r="U35" i="12"/>
  <c r="X35" i="12"/>
  <c r="Z35" i="12"/>
  <c r="X37" i="12"/>
  <c r="W37" i="12" s="1"/>
  <c r="Z37" i="12"/>
  <c r="AA37" i="12" s="1"/>
  <c r="F38" i="12"/>
  <c r="G37" i="12" s="1"/>
  <c r="U44" i="12"/>
  <c r="D43" i="12"/>
  <c r="F43" i="12"/>
  <c r="I43" i="12"/>
  <c r="K43" i="12"/>
  <c r="N43" i="12"/>
  <c r="P43" i="12"/>
  <c r="S43" i="12"/>
  <c r="U43" i="12"/>
  <c r="V43" i="12" s="1"/>
  <c r="AT43" i="12"/>
  <c r="D44" i="12"/>
  <c r="F44" i="12"/>
  <c r="I44" i="12"/>
  <c r="K44" i="12"/>
  <c r="N44" i="12"/>
  <c r="P44" i="12"/>
  <c r="S44" i="12"/>
  <c r="C39" i="12" l="1"/>
  <c r="C39" i="11"/>
  <c r="H37" i="9"/>
  <c r="R43" i="12"/>
  <c r="R45" i="12" s="1"/>
  <c r="Q43" i="12"/>
  <c r="M43" i="12"/>
  <c r="M45" i="12" s="1"/>
  <c r="L43" i="12"/>
  <c r="H43" i="12"/>
  <c r="H45" i="12" s="1"/>
  <c r="G43" i="12"/>
  <c r="AL43" i="12" s="1"/>
  <c r="C43" i="12"/>
  <c r="W39" i="12"/>
  <c r="AA34" i="12"/>
  <c r="W34" i="12"/>
  <c r="W36" i="12" s="1"/>
  <c r="V34" i="12"/>
  <c r="R34" i="12"/>
  <c r="R36" i="12" s="1"/>
  <c r="Q34" i="12"/>
  <c r="M34" i="12"/>
  <c r="M36" i="12" s="1"/>
  <c r="AA31" i="12"/>
  <c r="W31" i="12"/>
  <c r="W33" i="12" s="1"/>
  <c r="V31" i="12"/>
  <c r="R31" i="12"/>
  <c r="R33" i="12" s="1"/>
  <c r="Q31" i="12"/>
  <c r="M31" i="12"/>
  <c r="M33" i="12" s="1"/>
  <c r="V37" i="12"/>
  <c r="AL37" i="12" s="1"/>
  <c r="M40" i="12"/>
  <c r="R37" i="12"/>
  <c r="Q40" i="12"/>
  <c r="AL40" i="12" s="1"/>
  <c r="L31" i="12"/>
  <c r="AL31" i="12" s="1"/>
  <c r="C34" i="12"/>
  <c r="H31" i="12"/>
  <c r="G34" i="12"/>
  <c r="AL34" i="12" s="1"/>
  <c r="A43" i="12"/>
  <c r="W29" i="12" s="1"/>
  <c r="A40" i="12"/>
  <c r="R29" i="12" s="1"/>
  <c r="A37" i="12"/>
  <c r="M29" i="12" s="1"/>
  <c r="A34" i="12"/>
  <c r="H29" i="12" s="1"/>
  <c r="A31" i="12"/>
  <c r="C29" i="12" s="1"/>
  <c r="AS25" i="12"/>
  <c r="AA25" i="12"/>
  <c r="AS23" i="12"/>
  <c r="AA23" i="12"/>
  <c r="AS21" i="12"/>
  <c r="AA21" i="12"/>
  <c r="AS19" i="12"/>
  <c r="AA19" i="12"/>
  <c r="AS17" i="12"/>
  <c r="AA17" i="12"/>
  <c r="AS15" i="12"/>
  <c r="AA15" i="12"/>
  <c r="AM10" i="12"/>
  <c r="R43" i="11"/>
  <c r="R45" i="11" s="1"/>
  <c r="Q43" i="11"/>
  <c r="M43" i="11"/>
  <c r="M45" i="11" s="1"/>
  <c r="L43" i="11"/>
  <c r="H43" i="11"/>
  <c r="H45" i="11" s="1"/>
  <c r="G43" i="11"/>
  <c r="AL43" i="11" s="1"/>
  <c r="C43" i="11"/>
  <c r="W40" i="11"/>
  <c r="AA37" i="11"/>
  <c r="W37" i="11"/>
  <c r="W39" i="11" s="1"/>
  <c r="V37" i="11"/>
  <c r="AL37" i="11" s="1"/>
  <c r="R37" i="11"/>
  <c r="AA34" i="11"/>
  <c r="W34" i="11"/>
  <c r="W36" i="11" s="1"/>
  <c r="V34" i="11"/>
  <c r="R34" i="11"/>
  <c r="R36" i="11" s="1"/>
  <c r="Q34" i="11"/>
  <c r="AL34" i="11" s="1"/>
  <c r="M34" i="11"/>
  <c r="AA31" i="11"/>
  <c r="W31" i="11"/>
  <c r="W33" i="11" s="1"/>
  <c r="V31" i="11"/>
  <c r="R31" i="11"/>
  <c r="R33" i="11" s="1"/>
  <c r="Q31" i="11"/>
  <c r="M31" i="11"/>
  <c r="M33" i="11" s="1"/>
  <c r="L31" i="11"/>
  <c r="AL31" i="11" s="1"/>
  <c r="H31" i="11"/>
  <c r="A43" i="11"/>
  <c r="W29" i="11" s="1"/>
  <c r="A40" i="11"/>
  <c r="R29" i="11" s="1"/>
  <c r="A37" i="11"/>
  <c r="M29" i="11" s="1"/>
  <c r="A34" i="11"/>
  <c r="H29" i="11" s="1"/>
  <c r="A31" i="11"/>
  <c r="C29" i="11" s="1"/>
  <c r="AS25" i="11"/>
  <c r="AA25" i="11"/>
  <c r="AS23" i="11"/>
  <c r="AA23" i="11"/>
  <c r="AS21" i="11"/>
  <c r="AA21" i="11"/>
  <c r="AS19" i="11"/>
  <c r="AA19" i="11"/>
  <c r="AS17" i="11"/>
  <c r="AA17" i="11"/>
  <c r="AS15" i="11"/>
  <c r="AA15" i="11"/>
  <c r="AM10" i="11"/>
  <c r="C45" i="10"/>
  <c r="AJ43" i="10"/>
  <c r="AN43" i="10" s="1"/>
  <c r="W40" i="10"/>
  <c r="AA37" i="10"/>
  <c r="W37" i="10"/>
  <c r="W39" i="10" s="1"/>
  <c r="V37" i="10"/>
  <c r="AL37" i="10" s="1"/>
  <c r="R37" i="10"/>
  <c r="AA34" i="10"/>
  <c r="W34" i="10"/>
  <c r="W36" i="10" s="1"/>
  <c r="V34" i="10"/>
  <c r="R34" i="10"/>
  <c r="R36" i="10" s="1"/>
  <c r="Q34" i="10"/>
  <c r="AL34" i="10" s="1"/>
  <c r="M34" i="10"/>
  <c r="AA31" i="10"/>
  <c r="W31" i="10"/>
  <c r="W33" i="10" s="1"/>
  <c r="V31" i="10"/>
  <c r="R31" i="10"/>
  <c r="R33" i="10" s="1"/>
  <c r="Q31" i="10"/>
  <c r="M31" i="10"/>
  <c r="M33" i="10" s="1"/>
  <c r="L31" i="10"/>
  <c r="AL31" i="10" s="1"/>
  <c r="H31" i="10"/>
  <c r="A43" i="10"/>
  <c r="W29" i="10" s="1"/>
  <c r="A40" i="10"/>
  <c r="R29" i="10" s="1"/>
  <c r="A37" i="10"/>
  <c r="M29" i="10" s="1"/>
  <c r="A34" i="10"/>
  <c r="H29" i="10" s="1"/>
  <c r="A31" i="10"/>
  <c r="C29" i="10" s="1"/>
  <c r="AS25" i="10"/>
  <c r="AA25" i="10"/>
  <c r="AS23" i="10"/>
  <c r="AA23" i="10"/>
  <c r="AS21" i="10"/>
  <c r="AA21" i="10"/>
  <c r="AS19" i="10"/>
  <c r="AA19" i="10"/>
  <c r="AS17" i="10"/>
  <c r="AA17" i="10"/>
  <c r="AS15" i="10"/>
  <c r="AA15" i="10"/>
  <c r="AM10" i="10"/>
  <c r="V35" i="9"/>
  <c r="AL35" i="9" s="1"/>
  <c r="R35" i="9"/>
  <c r="V32" i="9"/>
  <c r="R32" i="9"/>
  <c r="R34" i="9" s="1"/>
  <c r="Q32" i="9"/>
  <c r="AL32" i="9" s="1"/>
  <c r="M32" i="9"/>
  <c r="V29" i="9"/>
  <c r="R29" i="9"/>
  <c r="R31" i="9" s="1"/>
  <c r="Q29" i="9"/>
  <c r="M29" i="9"/>
  <c r="M31" i="9" s="1"/>
  <c r="L29" i="9"/>
  <c r="AL29" i="9" s="1"/>
  <c r="H29" i="9"/>
  <c r="AK73" i="8"/>
  <c r="T73" i="8"/>
  <c r="J73" i="8"/>
  <c r="AK68" i="8"/>
  <c r="T68" i="8"/>
  <c r="AA68" i="8"/>
  <c r="J68" i="8"/>
  <c r="AH38" i="9"/>
  <c r="AF38" i="9"/>
  <c r="AD38" i="9"/>
  <c r="AB38" i="9"/>
  <c r="AS38" i="9" s="1"/>
  <c r="AL73" i="8"/>
  <c r="AB73" i="8"/>
  <c r="AL68" i="8"/>
  <c r="AB68" i="8"/>
  <c r="H31" i="9" l="1"/>
  <c r="AJ29" i="9"/>
  <c r="AN29" i="9" s="1"/>
  <c r="M34" i="9"/>
  <c r="AJ32" i="9"/>
  <c r="AN32" i="9" s="1"/>
  <c r="R37" i="9"/>
  <c r="AJ35" i="9"/>
  <c r="AN35" i="9" s="1"/>
  <c r="H33" i="10"/>
  <c r="AJ31" i="10"/>
  <c r="M36" i="10"/>
  <c r="AJ34" i="10"/>
  <c r="AN34" i="10" s="1"/>
  <c r="R39" i="10"/>
  <c r="AJ37" i="10"/>
  <c r="AN37" i="10" s="1"/>
  <c r="W42" i="10"/>
  <c r="AJ40" i="10"/>
  <c r="AN40" i="10" s="1"/>
  <c r="AH43" i="10"/>
  <c r="AF43" i="10"/>
  <c r="AD43" i="10"/>
  <c r="AB43" i="10"/>
  <c r="AS43" i="10" s="1"/>
  <c r="H33" i="11"/>
  <c r="AJ31" i="11"/>
  <c r="M36" i="11"/>
  <c r="AJ34" i="11"/>
  <c r="AN34" i="11" s="1"/>
  <c r="R39" i="11"/>
  <c r="AJ37" i="11"/>
  <c r="AN37" i="11" s="1"/>
  <c r="W42" i="11"/>
  <c r="AJ40" i="11"/>
  <c r="AN40" i="11" s="1"/>
  <c r="C45" i="11"/>
  <c r="AJ43" i="11"/>
  <c r="AN43" i="11" s="1"/>
  <c r="H33" i="12"/>
  <c r="AJ31" i="12"/>
  <c r="C36" i="12"/>
  <c r="AJ34" i="12"/>
  <c r="AN34" i="12" s="1"/>
  <c r="R39" i="12"/>
  <c r="AJ37" i="12"/>
  <c r="AN37" i="12" s="1"/>
  <c r="M42" i="12"/>
  <c r="AJ40" i="12"/>
  <c r="AN40" i="12" s="1"/>
  <c r="C45" i="12"/>
  <c r="AJ43" i="12"/>
  <c r="AN43" i="12" s="1"/>
  <c r="AH37" i="11"/>
  <c r="AF37" i="11"/>
  <c r="AD37" i="11"/>
  <c r="AB37" i="11"/>
  <c r="AS37" i="11" s="1"/>
  <c r="AH37" i="12"/>
  <c r="AF37" i="12"/>
  <c r="AD37" i="12"/>
  <c r="AB37" i="12"/>
  <c r="AS37" i="12" s="1"/>
  <c r="AH43" i="12" l="1"/>
  <c r="AF43" i="12"/>
  <c r="AD43" i="12"/>
  <c r="AB43" i="12"/>
  <c r="AS43" i="12" s="1"/>
  <c r="AH40" i="12"/>
  <c r="AF40" i="12"/>
  <c r="AD40" i="12"/>
  <c r="AB40" i="12"/>
  <c r="AS40" i="12" s="1"/>
  <c r="AH34" i="12"/>
  <c r="AF34" i="12"/>
  <c r="AD34" i="12"/>
  <c r="AB34" i="12"/>
  <c r="AS34" i="12" s="1"/>
  <c r="AP43" i="12"/>
  <c r="AN31" i="12"/>
  <c r="AH31" i="12"/>
  <c r="AF31" i="12"/>
  <c r="AD31" i="12"/>
  <c r="AB31" i="12"/>
  <c r="AS31" i="12" s="1"/>
  <c r="AP31" i="12" s="1"/>
  <c r="AH43" i="11"/>
  <c r="AF43" i="11"/>
  <c r="AD43" i="11"/>
  <c r="AB43" i="11"/>
  <c r="AS43" i="11" s="1"/>
  <c r="AH40" i="11"/>
  <c r="AF40" i="11"/>
  <c r="AD40" i="11"/>
  <c r="AB40" i="11"/>
  <c r="AS40" i="11" s="1"/>
  <c r="AH34" i="11"/>
  <c r="AF34" i="11"/>
  <c r="AD34" i="11"/>
  <c r="AB34" i="11"/>
  <c r="AS34" i="11" s="1"/>
  <c r="AP43" i="11"/>
  <c r="AN31" i="11"/>
  <c r="AH31" i="11"/>
  <c r="AF31" i="11"/>
  <c r="AD31" i="11"/>
  <c r="AB31" i="11"/>
  <c r="AS31" i="11" s="1"/>
  <c r="AP31" i="11" s="1"/>
  <c r="AH40" i="10"/>
  <c r="AF40" i="10"/>
  <c r="AD40" i="10"/>
  <c r="AB40" i="10"/>
  <c r="AS40" i="10" s="1"/>
  <c r="AH37" i="10"/>
  <c r="AF37" i="10"/>
  <c r="AD37" i="10"/>
  <c r="AB37" i="10"/>
  <c r="AS37" i="10" s="1"/>
  <c r="AH34" i="10"/>
  <c r="AF34" i="10"/>
  <c r="AD34" i="10"/>
  <c r="AB34" i="10"/>
  <c r="AS34" i="10" s="1"/>
  <c r="AP43" i="10"/>
  <c r="AN31" i="10"/>
  <c r="AH31" i="10"/>
  <c r="AF31" i="10"/>
  <c r="AD31" i="10"/>
  <c r="AB31" i="10"/>
  <c r="AS31" i="10" s="1"/>
  <c r="AP31" i="10" s="1"/>
  <c r="AH35" i="9"/>
  <c r="AF35" i="9"/>
  <c r="AD35" i="9"/>
  <c r="AB35" i="9"/>
  <c r="AS35" i="9" s="1"/>
  <c r="AH32" i="9"/>
  <c r="AF32" i="9"/>
  <c r="AD32" i="9"/>
  <c r="AB32" i="9"/>
  <c r="AS32" i="9" s="1"/>
  <c r="AH29" i="9"/>
  <c r="AF29" i="9"/>
  <c r="AD29" i="9"/>
  <c r="AB29" i="9"/>
  <c r="AS29" i="9" s="1"/>
  <c r="AP29" i="9" l="1"/>
  <c r="AP38" i="9"/>
  <c r="AP32" i="9"/>
  <c r="AP35" i="9"/>
  <c r="AX32" i="10"/>
  <c r="AY32" i="10" s="1"/>
  <c r="AP34" i="10"/>
  <c r="AX34" i="10" s="1"/>
  <c r="AY34" i="10" s="1"/>
  <c r="AP37" i="10"/>
  <c r="AP40" i="10"/>
  <c r="AX32" i="11"/>
  <c r="AY32" i="11" s="1"/>
  <c r="AP34" i="11"/>
  <c r="AX34" i="11" s="1"/>
  <c r="AY34" i="11" s="1"/>
  <c r="AP40" i="11"/>
  <c r="AX31" i="12"/>
  <c r="AY31" i="12" s="1"/>
  <c r="AP34" i="12"/>
  <c r="AX34" i="12" s="1"/>
  <c r="AY34" i="12" s="1"/>
  <c r="AP40" i="12"/>
  <c r="AP37" i="11"/>
  <c r="AP37" i="12"/>
  <c r="AX32" i="12" l="1"/>
  <c r="AY32" i="12" s="1"/>
  <c r="J47" i="8" s="1"/>
  <c r="AX33" i="12"/>
  <c r="AY33" i="12" s="1"/>
  <c r="AX31" i="11"/>
  <c r="AY31" i="11" s="1"/>
  <c r="AX33" i="11"/>
  <c r="AY33" i="11" s="1"/>
  <c r="AX31" i="10"/>
  <c r="AY31" i="10" s="1"/>
  <c r="J62" i="8" s="1"/>
  <c r="AA73" i="8" s="1"/>
  <c r="AX33" i="10"/>
  <c r="AY33" i="10" s="1"/>
  <c r="AX32" i="9"/>
  <c r="AY32" i="9" s="1"/>
  <c r="AX31" i="9"/>
  <c r="AY31" i="9" s="1"/>
  <c r="AX30" i="9"/>
  <c r="AY30" i="9" s="1"/>
  <c r="AX29" i="9"/>
  <c r="AY29" i="9" s="1"/>
</calcChain>
</file>

<file path=xl/sharedStrings.xml><?xml version="1.0" encoding="utf-8"?>
<sst xmlns="http://schemas.openxmlformats.org/spreadsheetml/2006/main" count="499" uniqueCount="113">
  <si>
    <t>SO</t>
    <phoneticPr fontId="5"/>
  </si>
  <si>
    <t>の敗者</t>
    <rPh sb="1" eb="3">
      <t>ハイシャ</t>
    </rPh>
    <phoneticPr fontId="5"/>
  </si>
  <si>
    <t>３位決定</t>
    <rPh sb="1" eb="2">
      <t>イ</t>
    </rPh>
    <rPh sb="2" eb="4">
      <t>ケッテイ</t>
    </rPh>
    <phoneticPr fontId="5"/>
  </si>
  <si>
    <t>男子</t>
    <rPh sb="0" eb="2">
      <t>ダンシ</t>
    </rPh>
    <phoneticPr fontId="5"/>
  </si>
  <si>
    <t>の勝者</t>
    <rPh sb="1" eb="3">
      <t>ショウシャ</t>
    </rPh>
    <phoneticPr fontId="5"/>
  </si>
  <si>
    <t>決勝</t>
    <rPh sb="0" eb="2">
      <t>ケッショウ</t>
    </rPh>
    <phoneticPr fontId="5"/>
  </si>
  <si>
    <t>男子決勝・3位決定</t>
    <rPh sb="0" eb="2">
      <t>ダンシ</t>
    </rPh>
    <rPh sb="2" eb="4">
      <t>ケッショウ</t>
    </rPh>
    <rPh sb="6" eb="7">
      <t>イ</t>
    </rPh>
    <rPh sb="7" eb="9">
      <t>ケッテイ</t>
    </rPh>
    <phoneticPr fontId="5"/>
  </si>
  <si>
    <t>～</t>
    <phoneticPr fontId="5"/>
  </si>
  <si>
    <t>女子</t>
    <rPh sb="0" eb="2">
      <t>ジョシ</t>
    </rPh>
    <phoneticPr fontId="5"/>
  </si>
  <si>
    <t>女子決勝・3位決定</t>
    <rPh sb="0" eb="2">
      <t>ジョシ</t>
    </rPh>
    <rPh sb="2" eb="4">
      <t>ケッショウ</t>
    </rPh>
    <rPh sb="6" eb="7">
      <t>イ</t>
    </rPh>
    <rPh sb="7" eb="9">
      <t>ケッテイ</t>
    </rPh>
    <phoneticPr fontId="5"/>
  </si>
  <si>
    <t>休憩</t>
    <rPh sb="0" eb="2">
      <t>キュウケイ</t>
    </rPh>
    <phoneticPr fontId="5"/>
  </si>
  <si>
    <t>位</t>
  </si>
  <si>
    <t>B</t>
  </si>
  <si>
    <t>の勝者</t>
  </si>
  <si>
    <t>男子</t>
  </si>
  <si>
    <t>A</t>
  </si>
  <si>
    <t>男子準決勝</t>
    <rPh sb="0" eb="2">
      <t>ダンシ</t>
    </rPh>
    <rPh sb="2" eb="5">
      <t>ジュンケッショウ</t>
    </rPh>
    <phoneticPr fontId="5"/>
  </si>
  <si>
    <t>b</t>
  </si>
  <si>
    <t>女子</t>
  </si>
  <si>
    <t>a</t>
  </si>
  <si>
    <t>女子準決勝</t>
    <rPh sb="0" eb="2">
      <t>ジョシ</t>
    </rPh>
    <rPh sb="2" eb="5">
      <t>ジュンケッショウ</t>
    </rPh>
    <phoneticPr fontId="5"/>
  </si>
  <si>
    <t>Ｂの2位</t>
  </si>
  <si>
    <t>Ａの3位</t>
  </si>
  <si>
    <t>Ｂの3位</t>
  </si>
  <si>
    <t>Ａの2位</t>
  </si>
  <si>
    <t>男子1回戦</t>
    <rPh sb="0" eb="2">
      <t>ダンシ</t>
    </rPh>
    <rPh sb="3" eb="5">
      <t>カイセン</t>
    </rPh>
    <phoneticPr fontId="5"/>
  </si>
  <si>
    <t>ｂ</t>
  </si>
  <si>
    <t>女子1回戦</t>
    <rPh sb="0" eb="2">
      <t>ジョシ</t>
    </rPh>
    <rPh sb="3" eb="5">
      <t>カイセン</t>
    </rPh>
    <phoneticPr fontId="5"/>
  </si>
  <si>
    <t>【最終日】</t>
    <rPh sb="1" eb="4">
      <t>サイシュウビ</t>
    </rPh>
    <phoneticPr fontId="5"/>
  </si>
  <si>
    <t>男子A</t>
    <rPh sb="0" eb="2">
      <t>ダンシ</t>
    </rPh>
    <phoneticPr fontId="5"/>
  </si>
  <si>
    <t>予選リーグ</t>
    <rPh sb="0" eb="2">
      <t>ヨセン</t>
    </rPh>
    <phoneticPr fontId="5"/>
  </si>
  <si>
    <t>男子B</t>
    <rPh sb="0" eb="2">
      <t>ダンシ</t>
    </rPh>
    <phoneticPr fontId="5"/>
  </si>
  <si>
    <t>女子a</t>
    <rPh sb="0" eb="2">
      <t>ジョシ</t>
    </rPh>
    <phoneticPr fontId="5"/>
  </si>
  <si>
    <t>女子b</t>
    <rPh sb="0" eb="2">
      <t>ジョシ</t>
    </rPh>
    <phoneticPr fontId="5"/>
  </si>
  <si>
    <t>（土）</t>
    <rPh sb="1" eb="2">
      <t>ド</t>
    </rPh>
    <phoneticPr fontId="5"/>
  </si>
  <si>
    <t>【第2日目】</t>
    <rPh sb="1" eb="2">
      <t>ダイ</t>
    </rPh>
    <rPh sb="3" eb="4">
      <t>ニチ</t>
    </rPh>
    <rPh sb="4" eb="5">
      <t>メ</t>
    </rPh>
    <phoneticPr fontId="5"/>
  </si>
  <si>
    <t>（金）</t>
    <rPh sb="1" eb="2">
      <t>キン</t>
    </rPh>
    <phoneticPr fontId="5"/>
  </si>
  <si>
    <t>試合番号</t>
    <rPh sb="0" eb="2">
      <t>シアイ</t>
    </rPh>
    <rPh sb="2" eb="4">
      <t>バンゴウ</t>
    </rPh>
    <phoneticPr fontId="5"/>
  </si>
  <si>
    <t>種別</t>
    <rPh sb="0" eb="2">
      <t>シュベツ</t>
    </rPh>
    <phoneticPr fontId="5"/>
  </si>
  <si>
    <t>試合時刻</t>
    <rPh sb="0" eb="2">
      <t>シアイ</t>
    </rPh>
    <rPh sb="2" eb="4">
      <t>ジコク</t>
    </rPh>
    <phoneticPr fontId="5"/>
  </si>
  <si>
    <t>月日</t>
    <rPh sb="0" eb="2">
      <t>ガッピ</t>
    </rPh>
    <phoneticPr fontId="5"/>
  </si>
  <si>
    <t>【第1日目】</t>
    <rPh sb="1" eb="2">
      <t>ダイ</t>
    </rPh>
    <rPh sb="3" eb="4">
      <t>ニチ</t>
    </rPh>
    <rPh sb="4" eb="5">
      <t>メ</t>
    </rPh>
    <phoneticPr fontId="5"/>
  </si>
  <si>
    <t>【日程・対戦記録表】</t>
    <rPh sb="1" eb="3">
      <t>ニッテイ</t>
    </rPh>
    <rPh sb="4" eb="6">
      <t>タイセン</t>
    </rPh>
    <rPh sb="6" eb="8">
      <t>キロク</t>
    </rPh>
    <rPh sb="8" eb="9">
      <t>ヒョウ</t>
    </rPh>
    <phoneticPr fontId="5"/>
  </si>
  <si>
    <t>-</t>
  </si>
  <si>
    <t>最終順位</t>
    <rPh sb="0" eb="2">
      <t>サイシュウ</t>
    </rPh>
    <rPh sb="2" eb="4">
      <t>ジュンイ</t>
    </rPh>
    <phoneticPr fontId="5"/>
  </si>
  <si>
    <t>仮順位</t>
    <rPh sb="0" eb="1">
      <t>カリ</t>
    </rPh>
    <rPh sb="1" eb="3">
      <t>ジュンイ</t>
    </rPh>
    <phoneticPr fontId="5"/>
  </si>
  <si>
    <t>順位</t>
    <rPh sb="0" eb="2">
      <t>ジュンイ</t>
    </rPh>
    <phoneticPr fontId="5"/>
  </si>
  <si>
    <t>得失差</t>
    <rPh sb="0" eb="2">
      <t>トクシツ</t>
    </rPh>
    <rPh sb="2" eb="3">
      <t>サ</t>
    </rPh>
    <phoneticPr fontId="5"/>
  </si>
  <si>
    <t>失点</t>
    <rPh sb="0" eb="2">
      <t>シッテン</t>
    </rPh>
    <phoneticPr fontId="5"/>
  </si>
  <si>
    <t>得点</t>
    <rPh sb="0" eb="2">
      <t>トクテン</t>
    </rPh>
    <phoneticPr fontId="5"/>
  </si>
  <si>
    <t>負</t>
    <rPh sb="0" eb="1">
      <t>マケ</t>
    </rPh>
    <phoneticPr fontId="5"/>
  </si>
  <si>
    <t>引分</t>
    <rPh sb="0" eb="2">
      <t>ヒキワケ</t>
    </rPh>
    <phoneticPr fontId="5"/>
  </si>
  <si>
    <t>勝</t>
    <rPh sb="0" eb="1">
      <t>カツ</t>
    </rPh>
    <phoneticPr fontId="5"/>
  </si>
  <si>
    <t>勝点</t>
    <rPh sb="0" eb="1">
      <t>カチ</t>
    </rPh>
    <rPh sb="1" eb="2">
      <t>テン</t>
    </rPh>
    <phoneticPr fontId="5"/>
  </si>
  <si>
    <t>-</t>
    <phoneticPr fontId="5"/>
  </si>
  <si>
    <t>後半</t>
    <rPh sb="0" eb="2">
      <t>コウハン</t>
    </rPh>
    <phoneticPr fontId="5"/>
  </si>
  <si>
    <t>前半</t>
    <rPh sb="0" eb="2">
      <t>ゼンハン</t>
    </rPh>
    <phoneticPr fontId="5"/>
  </si>
  <si>
    <t>チーム</t>
    <phoneticPr fontId="5"/>
  </si>
  <si>
    <t>番号</t>
    <rPh sb="0" eb="2">
      <t>バンゴウ</t>
    </rPh>
    <phoneticPr fontId="5"/>
  </si>
  <si>
    <t>試合会場</t>
    <rPh sb="0" eb="2">
      <t>シアイ</t>
    </rPh>
    <rPh sb="2" eb="4">
      <t>カイジョウ</t>
    </rPh>
    <phoneticPr fontId="5"/>
  </si>
  <si>
    <t>月日</t>
    <rPh sb="0" eb="2">
      <t>ツキヒ</t>
    </rPh>
    <phoneticPr fontId="5"/>
  </si>
  <si>
    <t>対戦</t>
    <rPh sb="0" eb="2">
      <t>タイセン</t>
    </rPh>
    <phoneticPr fontId="5"/>
  </si>
  <si>
    <t>中学校</t>
    <rPh sb="0" eb="3">
      <t>チュウガッコウ</t>
    </rPh>
    <phoneticPr fontId="5"/>
  </si>
  <si>
    <t>チーム名</t>
    <rPh sb="3" eb="4">
      <t>メイ</t>
    </rPh>
    <phoneticPr fontId="5"/>
  </si>
  <si>
    <t>抽選</t>
    <rPh sb="0" eb="2">
      <t>チュウセン</t>
    </rPh>
    <phoneticPr fontId="5"/>
  </si>
  <si>
    <t>男子　Aプール</t>
    <rPh sb="0" eb="2">
      <t>ダンシ</t>
    </rPh>
    <phoneticPr fontId="5"/>
  </si>
  <si>
    <t>チーム数</t>
    <rPh sb="3" eb="4">
      <t>スウ</t>
    </rPh>
    <phoneticPr fontId="5"/>
  </si>
  <si>
    <t>男子　Bプール</t>
    <rPh sb="0" eb="2">
      <t>ダンシ</t>
    </rPh>
    <phoneticPr fontId="5"/>
  </si>
  <si>
    <t>抽</t>
    <rPh sb="0" eb="1">
      <t>チュウ</t>
    </rPh>
    <phoneticPr fontId="5"/>
  </si>
  <si>
    <t>女子　aプール</t>
    <rPh sb="0" eb="2">
      <t>ジョシ</t>
    </rPh>
    <phoneticPr fontId="5"/>
  </si>
  <si>
    <r>
      <t>女子　</t>
    </r>
    <r>
      <rPr>
        <b/>
        <sz val="16"/>
        <rFont val="ＭＳ Ｐゴシック"/>
        <family val="3"/>
        <charset val="128"/>
      </rPr>
      <t>b</t>
    </r>
    <r>
      <rPr>
        <sz val="14"/>
        <rFont val="ＭＳ Ｐゴシック"/>
        <family val="3"/>
        <charset val="128"/>
      </rPr>
      <t>プール</t>
    </r>
    <rPh sb="0" eb="2">
      <t>ジョシ</t>
    </rPh>
    <phoneticPr fontId="5"/>
  </si>
  <si>
    <t>3位</t>
    <rPh sb="1" eb="2">
      <t>イ</t>
    </rPh>
    <phoneticPr fontId="5"/>
  </si>
  <si>
    <t>優勝</t>
    <rPh sb="0" eb="2">
      <t>ユウショウ</t>
    </rPh>
    <phoneticPr fontId="5"/>
  </si>
  <si>
    <t>【女子】</t>
    <rPh sb="1" eb="3">
      <t>ジョシ</t>
    </rPh>
    <phoneticPr fontId="5"/>
  </si>
  <si>
    <t>【男子】</t>
    <rPh sb="1" eb="3">
      <t>ダンシ</t>
    </rPh>
    <phoneticPr fontId="5"/>
  </si>
  <si>
    <t>【組合せ表】</t>
    <rPh sb="1" eb="3">
      <t>クミアワ</t>
    </rPh>
    <rPh sb="4" eb="5">
      <t>ヒョウ</t>
    </rPh>
    <phoneticPr fontId="5"/>
  </si>
  <si>
    <t>28日</t>
    <rPh sb="2" eb="3">
      <t>ニチ</t>
    </rPh>
    <phoneticPr fontId="5"/>
  </si>
  <si>
    <t>期間</t>
    <rPh sb="0" eb="2">
      <t>キカン</t>
    </rPh>
    <phoneticPr fontId="5"/>
  </si>
  <si>
    <t>会場</t>
    <rPh sb="0" eb="2">
      <t>カイジョウ</t>
    </rPh>
    <phoneticPr fontId="5"/>
  </si>
  <si>
    <t>Ａ　コート</t>
    <phoneticPr fontId="5"/>
  </si>
  <si>
    <t>Ｂ　コート</t>
    <phoneticPr fontId="5"/>
  </si>
  <si>
    <t>～</t>
    <phoneticPr fontId="5"/>
  </si>
  <si>
    <t>～</t>
    <phoneticPr fontId="5"/>
  </si>
  <si>
    <t>SO</t>
    <phoneticPr fontId="5"/>
  </si>
  <si>
    <t>SO</t>
    <phoneticPr fontId="5"/>
  </si>
  <si>
    <t>～</t>
    <phoneticPr fontId="5"/>
  </si>
  <si>
    <t>SO</t>
    <phoneticPr fontId="5"/>
  </si>
  <si>
    <t>チーム</t>
    <phoneticPr fontId="5"/>
  </si>
  <si>
    <t>L</t>
    <phoneticPr fontId="5"/>
  </si>
  <si>
    <t>R</t>
    <phoneticPr fontId="5"/>
  </si>
  <si>
    <t>～</t>
    <phoneticPr fontId="5"/>
  </si>
  <si>
    <t>-</t>
    <phoneticPr fontId="5"/>
  </si>
  <si>
    <t>チーム</t>
    <phoneticPr fontId="5"/>
  </si>
  <si>
    <t>～</t>
    <phoneticPr fontId="5"/>
  </si>
  <si>
    <t>-</t>
    <phoneticPr fontId="5"/>
  </si>
  <si>
    <t>-</t>
    <phoneticPr fontId="5"/>
  </si>
  <si>
    <t>～</t>
    <phoneticPr fontId="5"/>
  </si>
  <si>
    <t>-</t>
    <phoneticPr fontId="5"/>
  </si>
  <si>
    <t>～</t>
    <phoneticPr fontId="5"/>
  </si>
  <si>
    <t>-</t>
    <phoneticPr fontId="5"/>
  </si>
  <si>
    <t>成績・順位表</t>
    <phoneticPr fontId="5"/>
  </si>
  <si>
    <t>成績・順位表</t>
    <phoneticPr fontId="5"/>
  </si>
  <si>
    <t>チーム</t>
    <phoneticPr fontId="5"/>
  </si>
  <si>
    <t>～</t>
    <phoneticPr fontId="5"/>
  </si>
  <si>
    <t>-</t>
    <phoneticPr fontId="5"/>
  </si>
  <si>
    <t>成績・順位表</t>
    <phoneticPr fontId="5"/>
  </si>
  <si>
    <t>チーム</t>
    <phoneticPr fontId="5"/>
  </si>
  <si>
    <t>～</t>
    <phoneticPr fontId="5"/>
  </si>
  <si>
    <t>A</t>
    <phoneticPr fontId="5"/>
  </si>
  <si>
    <t>B</t>
    <phoneticPr fontId="5"/>
  </si>
  <si>
    <t xml:space="preserve">B </t>
    <phoneticPr fontId="5"/>
  </si>
  <si>
    <t>a</t>
    <phoneticPr fontId="5"/>
  </si>
  <si>
    <t>b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</si>
</sst>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;0;"/>
    <numFmt numFmtId="177" formatCode="m/d;@"/>
    <numFmt numFmtId="178" formatCode="\(aaa\)"/>
    <numFmt numFmtId="179" formatCode="m&quot;月&quot;d&quot;日&quot;\(aaa\)"/>
    <numFmt numFmtId="180" formatCode="m&quot;月&quot;d&quot;日&quot;;@"/>
    <numFmt numFmtId="181" formatCode="[$-411]ggge&quot;年&quot;m&quot;月&quot;d&quot;日&quot;;@"/>
    <numFmt numFmtId="182" formatCode="[$-F800]dddd\,\ mmmm\ dd\,\ yyyy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2"/>
      <color theme="0" tint="-0.34998626667073579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FF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medium">
        <color indexed="10"/>
      </left>
      <right/>
      <top/>
      <bottom style="thin">
        <color indexed="64"/>
      </bottom>
      <diagonal/>
    </border>
    <border>
      <left style="medium">
        <color indexed="10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85">
    <xf numFmtId="0" fontId="0" fillId="0" borderId="0" xfId="0">
      <alignment vertical="center"/>
    </xf>
    <xf numFmtId="0" fontId="1" fillId="0" borderId="0" xfId="1" applyProtection="1">
      <protection locked="0"/>
    </xf>
    <xf numFmtId="0" fontId="1" fillId="0" borderId="0" xfId="1" applyFont="1" applyFill="1" applyProtection="1">
      <protection locked="0"/>
    </xf>
    <xf numFmtId="0" fontId="1" fillId="0" borderId="0" xfId="1" applyFill="1" applyProtection="1">
      <protection locked="0"/>
    </xf>
    <xf numFmtId="0" fontId="3" fillId="0" borderId="0" xfId="1" applyFont="1" applyProtection="1">
      <protection locked="0"/>
    </xf>
    <xf numFmtId="0" fontId="1" fillId="0" borderId="0" xfId="1" applyNumberFormat="1" applyFill="1" applyProtection="1">
      <protection locked="0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left" vertical="center"/>
      <protection locked="0"/>
    </xf>
    <xf numFmtId="0" fontId="4" fillId="0" borderId="2" xfId="1" applyFont="1" applyFill="1" applyBorder="1" applyAlignment="1" applyProtection="1">
      <alignment horizontal="center" vertical="center" shrinkToFit="1"/>
      <protection locked="0"/>
    </xf>
    <xf numFmtId="0" fontId="4" fillId="2" borderId="2" xfId="1" applyFont="1" applyFill="1" applyBorder="1" applyAlignment="1" applyProtection="1">
      <alignment horizontal="center" vertical="center" shrinkToFit="1"/>
      <protection hidden="1"/>
    </xf>
    <xf numFmtId="0" fontId="4" fillId="2" borderId="2" xfId="1" applyFont="1" applyFill="1" applyBorder="1" applyAlignment="1" applyProtection="1">
      <alignment horizontal="center" vertical="center"/>
      <protection hidden="1"/>
    </xf>
    <xf numFmtId="0" fontId="4" fillId="2" borderId="3" xfId="1" applyFont="1" applyFill="1" applyBorder="1" applyAlignment="1" applyProtection="1">
      <alignment horizontal="left" vertical="center"/>
      <protection locked="0"/>
    </xf>
    <xf numFmtId="0" fontId="1" fillId="0" borderId="0" xfId="1" quotePrefix="1" applyFont="1" applyFill="1" applyBorder="1" applyAlignment="1" applyProtection="1">
      <alignment vertical="center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4" fillId="0" borderId="2" xfId="1" applyNumberFormat="1" applyFont="1" applyFill="1" applyBorder="1" applyAlignment="1" applyProtection="1">
      <alignment horizontal="center" vertical="center"/>
      <protection hidden="1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4" fillId="3" borderId="2" xfId="1" applyFont="1" applyFill="1" applyBorder="1" applyAlignment="1" applyProtection="1">
      <alignment horizontal="center" vertical="center"/>
      <protection locked="0"/>
    </xf>
    <xf numFmtId="0" fontId="4" fillId="3" borderId="5" xfId="1" applyFont="1" applyFill="1" applyBorder="1" applyAlignment="1" applyProtection="1">
      <alignment horizontal="left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center" vertical="center" shrinkToFit="1"/>
      <protection locked="0"/>
    </xf>
    <xf numFmtId="0" fontId="4" fillId="0" borderId="2" xfId="1" applyFont="1" applyBorder="1" applyAlignment="1" applyProtection="1">
      <alignment horizontal="center" vertical="center" shrinkToFit="1"/>
      <protection locked="0"/>
    </xf>
    <xf numFmtId="0" fontId="6" fillId="0" borderId="2" xfId="1" applyFont="1" applyBorder="1" applyAlignment="1" applyProtection="1">
      <alignment horizontal="center" vertical="center" shrinkToFit="1"/>
      <protection locked="0"/>
    </xf>
    <xf numFmtId="0" fontId="6" fillId="0" borderId="2" xfId="1" applyFont="1" applyFill="1" applyBorder="1" applyAlignment="1" applyProtection="1">
      <alignment horizontal="center" vertical="center" shrinkToFit="1"/>
      <protection locked="0"/>
    </xf>
    <xf numFmtId="0" fontId="1" fillId="0" borderId="2" xfId="1" quotePrefix="1" applyFont="1" applyFill="1" applyBorder="1" applyAlignment="1" applyProtection="1">
      <alignment vertical="center"/>
      <protection locked="0"/>
    </xf>
    <xf numFmtId="49" fontId="3" fillId="0" borderId="7" xfId="1" applyNumberFormat="1" applyFont="1" applyFill="1" applyBorder="1" applyAlignment="1" applyProtection="1">
      <alignment horizontal="center" vertical="center"/>
      <protection locked="0"/>
    </xf>
    <xf numFmtId="0" fontId="4" fillId="0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2" xfId="1" applyFont="1" applyFill="1" applyBorder="1" applyAlignment="1" applyProtection="1">
      <alignment horizontal="center" vertical="center"/>
      <protection locked="0"/>
    </xf>
    <xf numFmtId="0" fontId="4" fillId="0" borderId="5" xfId="1" applyFont="1" applyFill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 shrinkToFit="1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 shrinkToFit="1"/>
      <protection hidden="1"/>
    </xf>
    <xf numFmtId="49" fontId="4" fillId="0" borderId="0" xfId="1" applyNumberFormat="1" applyFont="1" applyFill="1" applyBorder="1" applyAlignment="1" applyProtection="1">
      <alignment horizontal="center" vertical="center"/>
      <protection hidden="1"/>
    </xf>
    <xf numFmtId="0" fontId="4" fillId="0" borderId="0" xfId="1" applyNumberFormat="1" applyFont="1" applyFill="1" applyBorder="1" applyAlignment="1" applyProtection="1">
      <alignment horizontal="center" vertical="center"/>
      <protection hidden="1"/>
    </xf>
    <xf numFmtId="56" fontId="10" fillId="0" borderId="6" xfId="1" applyNumberFormat="1" applyFont="1" applyBorder="1" applyAlignment="1" applyProtection="1">
      <alignment horizontal="center" vertical="center"/>
      <protection hidden="1"/>
    </xf>
    <xf numFmtId="0" fontId="4" fillId="0" borderId="12" xfId="1" applyFont="1" applyFill="1" applyBorder="1" applyAlignment="1" applyProtection="1">
      <alignment horizontal="center" vertical="center"/>
      <protection hidden="1"/>
    </xf>
    <xf numFmtId="0" fontId="4" fillId="0" borderId="13" xfId="1" applyFont="1" applyFill="1" applyBorder="1" applyAlignment="1" applyProtection="1">
      <alignment horizontal="center" vertical="center"/>
      <protection hidden="1"/>
    </xf>
    <xf numFmtId="0" fontId="4" fillId="0" borderId="13" xfId="1" applyFont="1" applyFill="1" applyBorder="1" applyAlignment="1" applyProtection="1">
      <alignment horizontal="center" vertical="center"/>
      <protection locked="0"/>
    </xf>
    <xf numFmtId="0" fontId="4" fillId="4" borderId="14" xfId="1" applyFont="1" applyFill="1" applyBorder="1" applyAlignment="1" applyProtection="1">
      <alignment horizontal="center" vertical="center"/>
      <protection locked="0"/>
    </xf>
    <xf numFmtId="0" fontId="4" fillId="0" borderId="13" xfId="1" applyFont="1" applyFill="1" applyBorder="1" applyAlignment="1" applyProtection="1">
      <alignment horizontal="left" vertical="center"/>
      <protection hidden="1"/>
    </xf>
    <xf numFmtId="0" fontId="4" fillId="0" borderId="13" xfId="1" applyNumberFormat="1" applyFont="1" applyFill="1" applyBorder="1" applyAlignment="1" applyProtection="1">
      <alignment horizontal="center" vertical="center"/>
      <protection locked="0"/>
    </xf>
    <xf numFmtId="177" fontId="4" fillId="0" borderId="6" xfId="1" applyNumberFormat="1" applyFont="1" applyFill="1" applyBorder="1" applyAlignment="1" applyProtection="1">
      <alignment horizontal="center" vertical="center"/>
      <protection hidden="1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4" fillId="0" borderId="2" xfId="1" applyFont="1" applyFill="1" applyBorder="1" applyAlignment="1" applyProtection="1">
      <alignment horizontal="left" vertical="center"/>
      <protection locked="0"/>
    </xf>
    <xf numFmtId="0" fontId="4" fillId="2" borderId="2" xfId="1" applyNumberFormat="1" applyFont="1" applyFill="1" applyBorder="1" applyAlignment="1" applyProtection="1">
      <alignment horizontal="center" vertical="center" shrinkToFit="1"/>
      <protection hidden="1"/>
    </xf>
    <xf numFmtId="0" fontId="4" fillId="2" borderId="2" xfId="1" applyNumberFormat="1" applyFont="1" applyFill="1" applyBorder="1" applyAlignment="1" applyProtection="1">
      <alignment horizontal="center" vertical="center"/>
      <protection hidden="1"/>
    </xf>
    <xf numFmtId="0" fontId="3" fillId="0" borderId="7" xfId="1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horizontal="center" vertical="center" shrinkToFit="1"/>
      <protection locked="0"/>
    </xf>
    <xf numFmtId="0" fontId="4" fillId="0" borderId="15" xfId="1" applyFont="1" applyFill="1" applyBorder="1" applyAlignment="1" applyProtection="1">
      <alignment horizontal="center" vertical="center"/>
      <protection hidden="1"/>
    </xf>
    <xf numFmtId="0" fontId="4" fillId="5" borderId="14" xfId="1" applyFont="1" applyFill="1" applyBorder="1" applyAlignment="1" applyProtection="1">
      <alignment horizontal="center" vertical="center"/>
      <protection hidden="1"/>
    </xf>
    <xf numFmtId="0" fontId="1" fillId="0" borderId="0" xfId="1" applyFill="1" applyBorder="1" applyProtection="1">
      <protection locked="0"/>
    </xf>
    <xf numFmtId="0" fontId="4" fillId="0" borderId="16" xfId="1" applyFont="1" applyFill="1" applyBorder="1" applyAlignment="1" applyProtection="1">
      <alignment horizontal="center" vertical="center"/>
      <protection locked="0"/>
    </xf>
    <xf numFmtId="0" fontId="4" fillId="0" borderId="17" xfId="1" applyFont="1" applyFill="1" applyBorder="1" applyAlignment="1" applyProtection="1">
      <alignment horizontal="center" vertical="center"/>
      <protection locked="0"/>
    </xf>
    <xf numFmtId="0" fontId="4" fillId="0" borderId="17" xfId="1" applyFont="1" applyFill="1" applyBorder="1" applyAlignment="1" applyProtection="1">
      <alignment horizontal="center" vertical="center" shrinkToFit="1"/>
      <protection locked="0"/>
    </xf>
    <xf numFmtId="0" fontId="4" fillId="0" borderId="17" xfId="1" applyFont="1" applyFill="1" applyBorder="1" applyAlignment="1" applyProtection="1">
      <alignment horizontal="center" vertical="center" shrinkToFit="1"/>
      <protection hidden="1"/>
    </xf>
    <xf numFmtId="0" fontId="4" fillId="0" borderId="17" xfId="1" applyFont="1" applyFill="1" applyBorder="1" applyAlignment="1" applyProtection="1">
      <alignment vertical="center"/>
      <protection hidden="1"/>
    </xf>
    <xf numFmtId="0" fontId="3" fillId="0" borderId="18" xfId="1" applyFont="1" applyFill="1" applyBorder="1" applyAlignment="1" applyProtection="1">
      <alignment horizontal="center" vertical="center"/>
      <protection locked="0"/>
    </xf>
    <xf numFmtId="0" fontId="4" fillId="0" borderId="17" xfId="1" applyNumberFormat="1" applyFont="1" applyFill="1" applyBorder="1" applyAlignment="1" applyProtection="1">
      <alignment horizontal="center" vertical="center"/>
      <protection hidden="1"/>
    </xf>
    <xf numFmtId="0" fontId="3" fillId="0" borderId="17" xfId="1" applyFont="1" applyFill="1" applyBorder="1" applyAlignment="1" applyProtection="1">
      <alignment horizontal="center" vertical="center"/>
      <protection locked="0"/>
    </xf>
    <xf numFmtId="0" fontId="4" fillId="0" borderId="11" xfId="1" applyFont="1" applyFill="1" applyBorder="1" applyProtection="1">
      <protection locked="0"/>
    </xf>
    <xf numFmtId="0" fontId="4" fillId="0" borderId="2" xfId="1" applyFont="1" applyFill="1" applyBorder="1" applyAlignment="1" applyProtection="1">
      <alignment horizontal="center" vertical="center" shrinkToFit="1"/>
      <protection hidden="1"/>
    </xf>
    <xf numFmtId="0" fontId="4" fillId="0" borderId="2" xfId="1" applyFont="1" applyFill="1" applyBorder="1" applyAlignment="1" applyProtection="1">
      <alignment horizontal="center" vertical="center"/>
      <protection hidden="1"/>
    </xf>
    <xf numFmtId="0" fontId="4" fillId="0" borderId="5" xfId="1" applyFont="1" applyFill="1" applyBorder="1" applyAlignment="1" applyProtection="1">
      <alignment horizontal="left" vertical="center"/>
      <protection locked="0"/>
    </xf>
    <xf numFmtId="0" fontId="3" fillId="0" borderId="19" xfId="1" applyFont="1" applyFill="1" applyBorder="1" applyAlignment="1" applyProtection="1">
      <alignment horizontal="center" vertical="center"/>
      <protection locked="0"/>
    </xf>
    <xf numFmtId="177" fontId="3" fillId="0" borderId="6" xfId="1" applyNumberFormat="1" applyFont="1" applyFill="1" applyBorder="1" applyAlignment="1" applyProtection="1">
      <alignment horizontal="center" vertical="center"/>
      <protection hidden="1"/>
    </xf>
    <xf numFmtId="0" fontId="3" fillId="0" borderId="6" xfId="1" applyFont="1" applyBorder="1" applyAlignment="1" applyProtection="1">
      <alignment horizontal="center" vertical="center"/>
      <protection locked="0"/>
    </xf>
    <xf numFmtId="178" fontId="3" fillId="0" borderId="6" xfId="1" applyNumberFormat="1" applyFont="1" applyBorder="1" applyAlignment="1" applyProtection="1">
      <alignment horizontal="center"/>
      <protection hidden="1"/>
    </xf>
    <xf numFmtId="178" fontId="3" fillId="0" borderId="6" xfId="1" applyNumberFormat="1" applyFont="1" applyFill="1" applyBorder="1" applyAlignment="1" applyProtection="1">
      <alignment horizontal="center" vertical="center"/>
      <protection hidden="1"/>
    </xf>
    <xf numFmtId="56" fontId="3" fillId="0" borderId="6" xfId="1" applyNumberFormat="1" applyFont="1" applyBorder="1" applyAlignment="1" applyProtection="1">
      <alignment horizontal="center" vertical="center"/>
      <protection hidden="1"/>
    </xf>
    <xf numFmtId="56" fontId="3" fillId="0" borderId="6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Border="1" applyAlignment="1" applyProtection="1">
      <alignment horizontal="center" vertical="center"/>
      <protection locked="0"/>
    </xf>
    <xf numFmtId="0" fontId="4" fillId="0" borderId="5" xfId="1" applyFont="1" applyFill="1" applyBorder="1" applyAlignment="1" applyProtection="1">
      <alignment horizontal="center" vertical="center" shrinkToFit="1"/>
      <protection locked="0"/>
    </xf>
    <xf numFmtId="0" fontId="11" fillId="0" borderId="2" xfId="1" applyFont="1" applyBorder="1" applyAlignment="1" applyProtection="1">
      <protection locked="0"/>
    </xf>
    <xf numFmtId="0" fontId="11" fillId="0" borderId="2" xfId="1" applyFont="1" applyFill="1" applyBorder="1" applyAlignment="1" applyProtection="1">
      <protection locked="0"/>
    </xf>
    <xf numFmtId="179" fontId="11" fillId="0" borderId="2" xfId="1" applyNumberFormat="1" applyFont="1" applyBorder="1" applyAlignment="1" applyProtection="1">
      <protection hidden="1"/>
    </xf>
    <xf numFmtId="0" fontId="4" fillId="0" borderId="2" xfId="1" quotePrefix="1" applyFont="1" applyFill="1" applyBorder="1" applyAlignment="1" applyProtection="1">
      <alignment horizontal="center" vertical="center"/>
      <protection locked="0"/>
    </xf>
    <xf numFmtId="49" fontId="4" fillId="0" borderId="5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ont="1" applyFill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vertical="center" textRotation="255"/>
      <protection locked="0"/>
    </xf>
    <xf numFmtId="0" fontId="4" fillId="0" borderId="0" xfId="1" quotePrefix="1" applyFont="1" applyFill="1" applyBorder="1" applyAlignment="1" applyProtection="1">
      <alignment horizontal="center" vertical="center"/>
      <protection locked="0"/>
    </xf>
    <xf numFmtId="49" fontId="4" fillId="0" borderId="11" xfId="1" applyNumberFormat="1" applyFont="1" applyFill="1" applyBorder="1" applyAlignment="1" applyProtection="1">
      <alignment horizontal="center" vertical="center"/>
      <protection hidden="1"/>
    </xf>
    <xf numFmtId="0" fontId="4" fillId="0" borderId="11" xfId="1" applyNumberFormat="1" applyFont="1" applyFill="1" applyBorder="1" applyAlignment="1" applyProtection="1">
      <alignment horizontal="center" vertical="center"/>
      <protection hidden="1"/>
    </xf>
    <xf numFmtId="0" fontId="4" fillId="0" borderId="24" xfId="1" applyFont="1" applyFill="1" applyBorder="1" applyAlignment="1" applyProtection="1">
      <alignment horizontal="center" vertical="center"/>
      <protection hidden="1"/>
    </xf>
    <xf numFmtId="0" fontId="4" fillId="0" borderId="25" xfId="1" applyFont="1" applyFill="1" applyBorder="1" applyAlignment="1" applyProtection="1">
      <alignment horizontal="center" vertical="center"/>
      <protection hidden="1"/>
    </xf>
    <xf numFmtId="0" fontId="4" fillId="0" borderId="15" xfId="1" applyFont="1" applyFill="1" applyBorder="1" applyAlignment="1" applyProtection="1">
      <alignment horizontal="center" vertical="center"/>
      <protection locked="0"/>
    </xf>
    <xf numFmtId="0" fontId="4" fillId="4" borderId="12" xfId="1" applyFont="1" applyFill="1" applyBorder="1" applyAlignment="1" applyProtection="1">
      <alignment horizontal="center" vertical="center"/>
      <protection locked="0"/>
    </xf>
    <xf numFmtId="0" fontId="4" fillId="0" borderId="15" xfId="1" applyNumberFormat="1" applyFont="1" applyFill="1" applyBorder="1" applyAlignment="1" applyProtection="1">
      <alignment horizontal="center" vertical="center"/>
      <protection locked="0"/>
    </xf>
    <xf numFmtId="0" fontId="4" fillId="4" borderId="26" xfId="1" applyFont="1" applyFill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vertical="center" textRotation="255"/>
      <protection locked="0"/>
    </xf>
    <xf numFmtId="49" fontId="4" fillId="0" borderId="11" xfId="1" applyNumberFormat="1" applyFont="1" applyFill="1" applyBorder="1" applyAlignment="1" applyProtection="1">
      <alignment horizontal="center" vertical="center"/>
      <protection locked="0"/>
    </xf>
    <xf numFmtId="0" fontId="4" fillId="3" borderId="0" xfId="1" applyFont="1" applyFill="1" applyBorder="1" applyAlignment="1" applyProtection="1">
      <alignment horizontal="center" vertical="center" shrinkToFit="1"/>
      <protection locked="0"/>
    </xf>
    <xf numFmtId="0" fontId="4" fillId="0" borderId="11" xfId="1" applyNumberFormat="1" applyFont="1" applyFill="1" applyBorder="1" applyAlignment="1" applyProtection="1">
      <alignment horizontal="center" vertical="center"/>
      <protection locked="0"/>
    </xf>
    <xf numFmtId="0" fontId="4" fillId="3" borderId="0" xfId="1" applyFont="1" applyFill="1" applyBorder="1" applyAlignment="1" applyProtection="1">
      <alignment horizontal="center" vertical="center" shrinkToFit="1"/>
      <protection hidden="1"/>
    </xf>
    <xf numFmtId="0" fontId="4" fillId="0" borderId="6" xfId="1" applyFont="1" applyBorder="1" applyProtection="1">
      <protection locked="0"/>
    </xf>
    <xf numFmtId="0" fontId="4" fillId="5" borderId="12" xfId="1" applyFont="1" applyFill="1" applyBorder="1" applyAlignment="1" applyProtection="1">
      <alignment horizontal="center" vertical="center"/>
      <protection hidden="1"/>
    </xf>
    <xf numFmtId="0" fontId="4" fillId="5" borderId="27" xfId="1" applyFont="1" applyFill="1" applyBorder="1" applyAlignment="1" applyProtection="1">
      <alignment horizontal="center" vertical="center"/>
      <protection hidden="1"/>
    </xf>
    <xf numFmtId="0" fontId="4" fillId="0" borderId="6" xfId="1" applyFont="1" applyFill="1" applyBorder="1" applyAlignment="1" applyProtection="1">
      <alignment horizontal="left" vertical="center"/>
      <protection locked="0"/>
    </xf>
    <xf numFmtId="0" fontId="12" fillId="0" borderId="0" xfId="1" applyFont="1" applyProtection="1">
      <protection locked="0"/>
    </xf>
    <xf numFmtId="0" fontId="4" fillId="0" borderId="28" xfId="1" applyFont="1" applyFill="1" applyBorder="1" applyAlignment="1" applyProtection="1">
      <alignment horizontal="center" vertical="center"/>
      <protection locked="0"/>
    </xf>
    <xf numFmtId="0" fontId="4" fillId="0" borderId="29" xfId="1" applyFont="1" applyFill="1" applyBorder="1" applyAlignment="1" applyProtection="1">
      <alignment horizontal="center" vertical="center"/>
      <protection locked="0"/>
    </xf>
    <xf numFmtId="0" fontId="3" fillId="0" borderId="30" xfId="1" applyFont="1" applyFill="1" applyBorder="1" applyAlignment="1" applyProtection="1">
      <alignment horizontal="center" vertical="center"/>
      <protection locked="0"/>
    </xf>
    <xf numFmtId="0" fontId="4" fillId="0" borderId="6" xfId="1" applyFont="1" applyFill="1" applyBorder="1" applyProtection="1">
      <protection locked="0"/>
    </xf>
    <xf numFmtId="178" fontId="10" fillId="0" borderId="6" xfId="1" applyNumberFormat="1" applyFont="1" applyFill="1" applyBorder="1" applyAlignment="1" applyProtection="1">
      <alignment horizontal="center" vertical="center"/>
      <protection locked="0"/>
    </xf>
    <xf numFmtId="56" fontId="10" fillId="0" borderId="6" xfId="1" applyNumberFormat="1" applyFont="1" applyFill="1" applyBorder="1" applyAlignment="1" applyProtection="1">
      <alignment horizontal="center" vertical="center"/>
      <protection locked="0"/>
    </xf>
    <xf numFmtId="56" fontId="10" fillId="0" borderId="6" xfId="1" applyNumberFormat="1" applyFont="1" applyFill="1" applyBorder="1" applyAlignment="1" applyProtection="1">
      <alignment horizontal="center" vertical="center"/>
      <protection hidden="1"/>
    </xf>
    <xf numFmtId="178" fontId="10" fillId="0" borderId="6" xfId="1" applyNumberFormat="1" applyFont="1" applyFill="1" applyBorder="1" applyAlignment="1" applyProtection="1">
      <alignment horizontal="center" vertical="center"/>
      <protection hidden="1"/>
    </xf>
    <xf numFmtId="0" fontId="4" fillId="0" borderId="11" xfId="1" applyFont="1" applyFill="1" applyBorder="1" applyAlignment="1" applyProtection="1">
      <alignment horizontal="center" vertical="center"/>
      <protection locked="0"/>
    </xf>
    <xf numFmtId="0" fontId="11" fillId="0" borderId="17" xfId="1" applyFont="1" applyBorder="1" applyAlignment="1" applyProtection="1">
      <protection locked="0"/>
    </xf>
    <xf numFmtId="179" fontId="11" fillId="0" borderId="17" xfId="1" applyNumberFormat="1" applyFont="1" applyBorder="1" applyAlignment="1" applyProtection="1">
      <protection locked="0"/>
    </xf>
    <xf numFmtId="56" fontId="3" fillId="0" borderId="8" xfId="1" applyNumberFormat="1" applyFont="1" applyBorder="1" applyAlignment="1" applyProtection="1">
      <alignment vertical="center"/>
      <protection hidden="1"/>
    </xf>
    <xf numFmtId="56" fontId="3" fillId="0" borderId="6" xfId="1" applyNumberFormat="1" applyFont="1" applyBorder="1" applyAlignment="1" applyProtection="1">
      <alignment vertical="center"/>
      <protection hidden="1"/>
    </xf>
    <xf numFmtId="0" fontId="4" fillId="5" borderId="25" xfId="1" applyFont="1" applyFill="1" applyBorder="1" applyAlignment="1" applyProtection="1">
      <alignment horizontal="center" vertical="center"/>
      <protection hidden="1"/>
    </xf>
    <xf numFmtId="0" fontId="4" fillId="5" borderId="26" xfId="1" applyFont="1" applyFill="1" applyBorder="1" applyAlignment="1" applyProtection="1">
      <alignment horizontal="center" vertical="center"/>
      <protection hidden="1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 wrapText="1"/>
      <protection locked="0"/>
    </xf>
    <xf numFmtId="179" fontId="11" fillId="0" borderId="2" xfId="1" applyNumberFormat="1" applyFont="1" applyBorder="1" applyAlignment="1" applyProtection="1">
      <protection locked="0"/>
    </xf>
    <xf numFmtId="0" fontId="11" fillId="0" borderId="0" xfId="1" applyFont="1" applyBorder="1" applyAlignment="1" applyProtection="1">
      <protection locked="0"/>
    </xf>
    <xf numFmtId="0" fontId="1" fillId="0" borderId="0" xfId="1" applyProtection="1">
      <protection locked="0" hidden="1"/>
    </xf>
    <xf numFmtId="0" fontId="1" fillId="0" borderId="0" xfId="1" applyFill="1" applyProtection="1">
      <protection locked="0" hidden="1"/>
    </xf>
    <xf numFmtId="0" fontId="12" fillId="0" borderId="0" xfId="1" applyFont="1" applyProtection="1">
      <protection locked="0" hidden="1"/>
    </xf>
    <xf numFmtId="0" fontId="13" fillId="0" borderId="0" xfId="1" applyFont="1" applyProtection="1">
      <protection locked="0" hidden="1"/>
    </xf>
    <xf numFmtId="0" fontId="13" fillId="3" borderId="0" xfId="1" applyFont="1" applyFill="1" applyProtection="1">
      <protection locked="0" hidden="1"/>
    </xf>
    <xf numFmtId="0" fontId="13" fillId="2" borderId="0" xfId="1" applyFont="1" applyFill="1" applyProtection="1">
      <protection locked="0" hidden="1"/>
    </xf>
    <xf numFmtId="0" fontId="4" fillId="2" borderId="8" xfId="1" applyFont="1" applyFill="1" applyBorder="1" applyAlignment="1" applyProtection="1">
      <alignment horizontal="center" vertical="center"/>
      <protection locked="0" hidden="1"/>
    </xf>
    <xf numFmtId="0" fontId="4" fillId="2" borderId="6" xfId="1" applyFont="1" applyFill="1" applyBorder="1" applyAlignment="1" applyProtection="1">
      <alignment horizontal="center" vertical="center"/>
      <protection locked="0" hidden="1"/>
    </xf>
    <xf numFmtId="0" fontId="12" fillId="0" borderId="0" xfId="1" applyFont="1" applyFill="1" applyBorder="1" applyAlignment="1" applyProtection="1">
      <alignment horizontal="center" vertical="center" shrinkToFit="1"/>
      <protection hidden="1"/>
    </xf>
    <xf numFmtId="0" fontId="15" fillId="2" borderId="0" xfId="1" applyFont="1" applyFill="1" applyBorder="1" applyAlignment="1" applyProtection="1">
      <alignment horizontal="right" vertical="center" shrinkToFit="1"/>
      <protection hidden="1"/>
    </xf>
    <xf numFmtId="0" fontId="4" fillId="2" borderId="27" xfId="1" applyFont="1" applyFill="1" applyBorder="1" applyAlignment="1" applyProtection="1">
      <alignment horizontal="center" vertical="center"/>
      <protection locked="0" hidden="1"/>
    </xf>
    <xf numFmtId="0" fontId="12" fillId="0" borderId="13" xfId="1" applyFont="1" applyFill="1" applyBorder="1" applyAlignment="1" applyProtection="1">
      <alignment horizontal="center" vertical="center" shrinkToFit="1"/>
      <protection hidden="1"/>
    </xf>
    <xf numFmtId="0" fontId="15" fillId="2" borderId="13" xfId="1" applyFont="1" applyFill="1" applyBorder="1" applyAlignment="1" applyProtection="1">
      <alignment horizontal="right" vertical="center" shrinkToFit="1"/>
      <protection hidden="1"/>
    </xf>
    <xf numFmtId="0" fontId="1" fillId="3" borderId="0" xfId="1" applyFont="1" applyFill="1" applyProtection="1">
      <protection locked="0" hidden="1"/>
    </xf>
    <xf numFmtId="0" fontId="1" fillId="2" borderId="0" xfId="1" applyFont="1" applyFill="1" applyProtection="1">
      <protection locked="0" hidden="1"/>
    </xf>
    <xf numFmtId="0" fontId="12" fillId="0" borderId="0" xfId="1" applyNumberFormat="1" applyFont="1" applyFill="1" applyBorder="1" applyAlignment="1" applyProtection="1">
      <alignment horizontal="center" vertical="center" shrinkToFit="1"/>
      <protection hidden="1"/>
    </xf>
    <xf numFmtId="0" fontId="12" fillId="0" borderId="13" xfId="1" applyNumberFormat="1" applyFont="1" applyFill="1" applyBorder="1" applyAlignment="1" applyProtection="1">
      <alignment horizontal="center" vertical="center" shrinkToFit="1"/>
      <protection hidden="1"/>
    </xf>
    <xf numFmtId="0" fontId="1" fillId="2" borderId="27" xfId="1" applyFont="1" applyFill="1" applyBorder="1" applyAlignment="1" applyProtection="1">
      <alignment horizontal="center" vertical="center"/>
      <protection locked="0" hidden="1"/>
    </xf>
    <xf numFmtId="0" fontId="1" fillId="0" borderId="31" xfId="1" applyFont="1" applyFill="1" applyBorder="1" applyAlignment="1" applyProtection="1">
      <alignment horizontal="center"/>
      <protection hidden="1"/>
    </xf>
    <xf numFmtId="0" fontId="13" fillId="2" borderId="18" xfId="1" applyFont="1" applyFill="1" applyBorder="1" applyProtection="1">
      <protection locked="0" hidden="1"/>
    </xf>
    <xf numFmtId="0" fontId="1" fillId="3" borderId="0" xfId="1" applyFill="1" applyProtection="1">
      <protection locked="0" hidden="1"/>
    </xf>
    <xf numFmtId="0" fontId="1" fillId="2" borderId="0" xfId="1" applyFill="1" applyProtection="1">
      <protection locked="0" hidden="1"/>
    </xf>
    <xf numFmtId="0" fontId="1" fillId="2" borderId="0" xfId="1" applyFill="1" applyProtection="1">
      <protection hidden="1"/>
    </xf>
    <xf numFmtId="0" fontId="1" fillId="2" borderId="0" xfId="1" applyFill="1" applyBorder="1" applyAlignment="1" applyProtection="1">
      <alignment horizontal="center"/>
      <protection hidden="1"/>
    </xf>
    <xf numFmtId="0" fontId="3" fillId="3" borderId="0" xfId="1" applyFont="1" applyFill="1" applyAlignment="1" applyProtection="1">
      <alignment horizontal="center"/>
      <protection locked="0" hidden="1"/>
    </xf>
    <xf numFmtId="0" fontId="3" fillId="0" borderId="0" xfId="1" applyFont="1" applyAlignment="1" applyProtection="1">
      <alignment horizontal="center"/>
      <protection hidden="1"/>
    </xf>
    <xf numFmtId="0" fontId="3" fillId="0" borderId="0" xfId="1" applyFont="1" applyFill="1" applyAlignment="1" applyProtection="1">
      <alignment horizontal="center"/>
      <protection hidden="1"/>
    </xf>
    <xf numFmtId="0" fontId="3" fillId="2" borderId="0" xfId="1" applyFont="1" applyFill="1" applyAlignment="1" applyProtection="1">
      <alignment horizontal="center"/>
      <protection locked="0" hidden="1"/>
    </xf>
    <xf numFmtId="0" fontId="3" fillId="3" borderId="13" xfId="1" applyFont="1" applyFill="1" applyBorder="1" applyAlignment="1" applyProtection="1">
      <alignment horizontal="center"/>
      <protection locked="0" hidden="1"/>
    </xf>
    <xf numFmtId="0" fontId="1" fillId="2" borderId="2" xfId="1" applyFill="1" applyBorder="1" applyProtection="1">
      <protection locked="0" hidden="1"/>
    </xf>
    <xf numFmtId="0" fontId="1" fillId="2" borderId="0" xfId="1" applyNumberFormat="1" applyFill="1" applyProtection="1">
      <protection locked="0" hidden="1"/>
    </xf>
    <xf numFmtId="0" fontId="1" fillId="0" borderId="2" xfId="1" applyNumberFormat="1" applyFill="1" applyBorder="1" applyAlignment="1" applyProtection="1">
      <alignment horizontal="right" shrinkToFit="1"/>
      <protection hidden="1"/>
    </xf>
    <xf numFmtId="0" fontId="1" fillId="0" borderId="2" xfId="1" applyNumberFormat="1" applyFill="1" applyBorder="1" applyAlignment="1" applyProtection="1">
      <alignment horizontal="center" shrinkToFit="1"/>
      <protection hidden="1"/>
    </xf>
    <xf numFmtId="178" fontId="1" fillId="0" borderId="8" xfId="1" applyNumberFormat="1" applyFont="1" applyFill="1" applyBorder="1" applyAlignment="1" applyProtection="1">
      <alignment horizontal="center"/>
      <protection hidden="1"/>
    </xf>
    <xf numFmtId="178" fontId="1" fillId="2" borderId="5" xfId="1" applyNumberFormat="1" applyFill="1" applyBorder="1" applyAlignment="1" applyProtection="1">
      <alignment horizontal="center"/>
      <protection locked="0" hidden="1"/>
    </xf>
    <xf numFmtId="0" fontId="1" fillId="2" borderId="13" xfId="1" applyFill="1" applyBorder="1" applyProtection="1">
      <protection locked="0" hidden="1"/>
    </xf>
    <xf numFmtId="0" fontId="1" fillId="0" borderId="13" xfId="1" applyNumberFormat="1" applyFill="1" applyBorder="1" applyAlignment="1" applyProtection="1">
      <alignment horizontal="right" shrinkToFit="1"/>
      <protection hidden="1"/>
    </xf>
    <xf numFmtId="0" fontId="1" fillId="0" borderId="13" xfId="1" applyNumberFormat="1" applyFill="1" applyBorder="1" applyAlignment="1" applyProtection="1">
      <alignment horizontal="center" shrinkToFit="1"/>
      <protection hidden="1"/>
    </xf>
    <xf numFmtId="180" fontId="1" fillId="0" borderId="6" xfId="1" applyNumberFormat="1" applyFont="1" applyFill="1" applyBorder="1" applyAlignment="1" applyProtection="1">
      <alignment horizontal="center"/>
      <protection hidden="1"/>
    </xf>
    <xf numFmtId="180" fontId="1" fillId="2" borderId="15" xfId="1" applyNumberFormat="1" applyFill="1" applyBorder="1" applyAlignment="1" applyProtection="1">
      <alignment horizontal="center"/>
      <protection locked="0" hidden="1"/>
    </xf>
    <xf numFmtId="178" fontId="1" fillId="0" borderId="6" xfId="1" applyNumberFormat="1" applyFont="1" applyFill="1" applyBorder="1" applyAlignment="1" applyProtection="1">
      <alignment horizontal="center"/>
      <protection hidden="1"/>
    </xf>
    <xf numFmtId="0" fontId="1" fillId="2" borderId="2" xfId="1" applyNumberFormat="1" applyFill="1" applyBorder="1" applyProtection="1">
      <protection locked="0" hidden="1"/>
    </xf>
    <xf numFmtId="0" fontId="1" fillId="2" borderId="5" xfId="1" applyNumberFormat="1" applyFill="1" applyBorder="1" applyProtection="1">
      <protection locked="0" hidden="1"/>
    </xf>
    <xf numFmtId="0" fontId="1" fillId="2" borderId="13" xfId="1" applyNumberFormat="1" applyFill="1" applyBorder="1" applyProtection="1">
      <protection locked="0" hidden="1"/>
    </xf>
    <xf numFmtId="0" fontId="1" fillId="2" borderId="15" xfId="1" applyNumberFormat="1" applyFill="1" applyBorder="1" applyProtection="1">
      <protection locked="0" hidden="1"/>
    </xf>
    <xf numFmtId="0" fontId="1" fillId="2" borderId="0" xfId="1" applyFill="1" applyAlignment="1" applyProtection="1">
      <alignment horizontal="right"/>
      <protection locked="0" hidden="1"/>
    </xf>
    <xf numFmtId="0" fontId="1" fillId="2" borderId="16" xfId="1" applyFill="1" applyBorder="1" applyAlignment="1" applyProtection="1">
      <alignment shrinkToFit="1"/>
      <protection locked="0" hidden="1"/>
    </xf>
    <xf numFmtId="0" fontId="1" fillId="0" borderId="17" xfId="1" applyBorder="1" applyAlignment="1" applyProtection="1">
      <alignment horizontal="center"/>
      <protection hidden="1"/>
    </xf>
    <xf numFmtId="0" fontId="1" fillId="0" borderId="17" xfId="1" applyFill="1" applyBorder="1" applyAlignment="1" applyProtection="1">
      <alignment horizontal="center"/>
      <protection hidden="1"/>
    </xf>
    <xf numFmtId="0" fontId="12" fillId="0" borderId="17" xfId="1" applyFont="1" applyBorder="1" applyProtection="1">
      <protection hidden="1"/>
    </xf>
    <xf numFmtId="0" fontId="1" fillId="0" borderId="17" xfId="1" applyBorder="1" applyProtection="1">
      <protection hidden="1"/>
    </xf>
    <xf numFmtId="0" fontId="1" fillId="0" borderId="31" xfId="1" applyBorder="1" applyAlignment="1" applyProtection="1">
      <alignment horizontal="center"/>
      <protection hidden="1"/>
    </xf>
    <xf numFmtId="0" fontId="1" fillId="2" borderId="18" xfId="1" applyFill="1" applyBorder="1" applyAlignment="1" applyProtection="1">
      <alignment horizontal="center"/>
      <protection locked="0" hidden="1"/>
    </xf>
    <xf numFmtId="0" fontId="1" fillId="2" borderId="0" xfId="1" applyFill="1" applyAlignment="1" applyProtection="1">
      <alignment horizontal="center"/>
      <protection locked="0" hidden="1"/>
    </xf>
    <xf numFmtId="0" fontId="1" fillId="0" borderId="0" xfId="1" applyAlignment="1" applyProtection="1">
      <alignment vertical="top"/>
      <protection hidden="1"/>
    </xf>
    <xf numFmtId="0" fontId="1" fillId="0" borderId="0" xfId="1" applyFill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" fillId="0" borderId="2" xfId="1" applyBorder="1" applyProtection="1">
      <protection hidden="1"/>
    </xf>
    <xf numFmtId="0" fontId="1" fillId="0" borderId="0" xfId="1" applyFill="1" applyAlignment="1" applyProtection="1">
      <alignment vertical="center"/>
      <protection hidden="1"/>
    </xf>
    <xf numFmtId="0" fontId="1" fillId="0" borderId="0" xfId="1" applyProtection="1">
      <protection hidden="1"/>
    </xf>
    <xf numFmtId="176" fontId="1" fillId="0" borderId="0" xfId="1" applyNumberFormat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12" fillId="0" borderId="0" xfId="1" applyFont="1" applyProtection="1">
      <protection hidden="1"/>
    </xf>
    <xf numFmtId="0" fontId="1" fillId="0" borderId="0" xfId="1" applyFill="1" applyBorder="1" applyProtection="1">
      <protection hidden="1"/>
    </xf>
    <xf numFmtId="0" fontId="1" fillId="0" borderId="0" xfId="1" applyFill="1" applyBorder="1" applyAlignment="1" applyProtection="1">
      <alignment horizontal="center"/>
      <protection hidden="1"/>
    </xf>
    <xf numFmtId="0" fontId="1" fillId="0" borderId="0" xfId="1" applyBorder="1" applyAlignment="1" applyProtection="1">
      <alignment vertical="center"/>
      <protection hidden="1"/>
    </xf>
    <xf numFmtId="0" fontId="1" fillId="0" borderId="0" xfId="1" applyFont="1" applyFill="1" applyBorder="1" applyProtection="1">
      <protection hidden="1"/>
    </xf>
    <xf numFmtId="0" fontId="1" fillId="0" borderId="0" xfId="1" applyFont="1" applyFill="1" applyBorder="1" applyAlignment="1" applyProtection="1">
      <alignment horizontal="left" vertical="center" shrinkToFit="1"/>
      <protection hidden="1"/>
    </xf>
    <xf numFmtId="0" fontId="12" fillId="0" borderId="0" xfId="1" applyFont="1" applyFill="1" applyAlignment="1" applyProtection="1">
      <alignment vertical="center"/>
      <protection hidden="1"/>
    </xf>
    <xf numFmtId="0" fontId="12" fillId="0" borderId="0" xfId="1" applyFont="1" applyFill="1" applyProtection="1">
      <protection hidden="1"/>
    </xf>
    <xf numFmtId="0" fontId="18" fillId="2" borderId="0" xfId="1" applyFont="1" applyFill="1" applyProtection="1">
      <protection locked="0" hidden="1"/>
    </xf>
    <xf numFmtId="0" fontId="1" fillId="0" borderId="0" xfId="1" applyFont="1" applyFill="1" applyProtection="1">
      <protection hidden="1"/>
    </xf>
    <xf numFmtId="0" fontId="17" fillId="0" borderId="0" xfId="1" applyFont="1" applyFill="1" applyAlignment="1" applyProtection="1">
      <alignment horizontal="center" vertical="top" shrinkToFit="1"/>
      <protection hidden="1"/>
    </xf>
    <xf numFmtId="0" fontId="1" fillId="0" borderId="0" xfId="1" applyFont="1" applyFill="1" applyAlignment="1" applyProtection="1">
      <alignment horizontal="center"/>
      <protection hidden="1"/>
    </xf>
    <xf numFmtId="0" fontId="20" fillId="0" borderId="0" xfId="1" applyFont="1" applyFill="1" applyAlignment="1" applyProtection="1">
      <alignment horizontal="center"/>
      <protection hidden="1"/>
    </xf>
    <xf numFmtId="0" fontId="12" fillId="0" borderId="0" xfId="1" applyFont="1" applyFill="1" applyBorder="1" applyAlignment="1" applyProtection="1">
      <alignment vertical="center"/>
      <protection hidden="1"/>
    </xf>
    <xf numFmtId="0" fontId="1" fillId="0" borderId="0" xfId="1" applyFont="1" applyBorder="1" applyProtection="1">
      <protection hidden="1"/>
    </xf>
    <xf numFmtId="0" fontId="16" fillId="0" borderId="0" xfId="1" applyFont="1" applyFill="1" applyBorder="1" applyAlignment="1" applyProtection="1">
      <alignment horizontal="center"/>
      <protection hidden="1"/>
    </xf>
    <xf numFmtId="0" fontId="20" fillId="0" borderId="0" xfId="1" applyFont="1" applyFill="1" applyBorder="1" applyAlignment="1" applyProtection="1">
      <alignment horizontal="center"/>
      <protection hidden="1"/>
    </xf>
    <xf numFmtId="0" fontId="17" fillId="0" borderId="0" xfId="1" applyFont="1" applyFill="1" applyAlignment="1" applyProtection="1">
      <alignment vertical="top" shrinkToFit="1"/>
      <protection hidden="1"/>
    </xf>
    <xf numFmtId="0" fontId="21" fillId="0" borderId="0" xfId="1" applyFont="1" applyFill="1" applyBorder="1" applyAlignment="1" applyProtection="1">
      <alignment vertical="center"/>
      <protection hidden="1"/>
    </xf>
    <xf numFmtId="0" fontId="22" fillId="0" borderId="0" xfId="1" applyFont="1" applyFill="1" applyBorder="1" applyAlignment="1" applyProtection="1">
      <alignment horizontal="center" vertical="center"/>
      <protection hidden="1"/>
    </xf>
    <xf numFmtId="0" fontId="1" fillId="2" borderId="0" xfId="1" applyFill="1" applyBorder="1" applyProtection="1">
      <protection locked="0" hidden="1"/>
    </xf>
    <xf numFmtId="0" fontId="1" fillId="2" borderId="0" xfId="1" applyFill="1" applyAlignment="1" applyProtection="1">
      <alignment horizontal="center" vertical="top"/>
      <protection locked="0" hidden="1"/>
    </xf>
    <xf numFmtId="0" fontId="1" fillId="0" borderId="0" xfId="1" applyFill="1" applyAlignment="1" applyProtection="1">
      <alignment horizontal="center" vertical="top"/>
      <protection hidden="1"/>
    </xf>
    <xf numFmtId="0" fontId="1" fillId="0" borderId="0" xfId="1" applyFont="1" applyFill="1" applyAlignment="1" applyProtection="1">
      <alignment horizontal="center" vertical="top"/>
      <protection hidden="1"/>
    </xf>
    <xf numFmtId="0" fontId="12" fillId="0" borderId="0" xfId="1" applyFont="1" applyFill="1" applyAlignment="1" applyProtection="1">
      <alignment horizontal="center"/>
      <protection hidden="1"/>
    </xf>
    <xf numFmtId="0" fontId="1" fillId="0" borderId="0" xfId="1" applyFont="1" applyProtection="1">
      <protection hidden="1"/>
    </xf>
    <xf numFmtId="0" fontId="15" fillId="0" borderId="0" xfId="1" applyFont="1" applyFill="1" applyAlignment="1" applyProtection="1">
      <alignment horizontal="center" vertical="top" shrinkToFit="1"/>
      <protection hidden="1"/>
    </xf>
    <xf numFmtId="0" fontId="24" fillId="0" borderId="0" xfId="1" applyFont="1" applyFill="1" applyBorder="1" applyAlignment="1" applyProtection="1">
      <alignment vertical="center" shrinkToFit="1"/>
      <protection hidden="1"/>
    </xf>
    <xf numFmtId="0" fontId="6" fillId="0" borderId="0" xfId="1" applyFont="1" applyFill="1" applyBorder="1" applyAlignment="1" applyProtection="1">
      <alignment vertical="center"/>
      <protection hidden="1"/>
    </xf>
    <xf numFmtId="0" fontId="1" fillId="0" borderId="0" xfId="1" applyFont="1" applyFill="1" applyAlignment="1" applyProtection="1">
      <alignment vertical="top"/>
      <protection hidden="1"/>
    </xf>
    <xf numFmtId="0" fontId="1" fillId="0" borderId="0" xfId="1" applyAlignment="1" applyProtection="1">
      <alignment horizontal="center" vertical="top"/>
      <protection hidden="1"/>
    </xf>
    <xf numFmtId="0" fontId="12" fillId="0" borderId="0" xfId="1" applyFont="1" applyFill="1" applyBorder="1" applyAlignment="1" applyProtection="1">
      <alignment horizontal="right" vertical="center" shrinkToFit="1"/>
      <protection hidden="1"/>
    </xf>
    <xf numFmtId="0" fontId="12" fillId="0" borderId="0" xfId="1" applyFont="1" applyFill="1" applyAlignment="1" applyProtection="1">
      <alignment vertical="top"/>
      <protection hidden="1"/>
    </xf>
    <xf numFmtId="0" fontId="12" fillId="0" borderId="0" xfId="1" applyFont="1" applyFill="1" applyAlignment="1" applyProtection="1">
      <alignment horizontal="left"/>
      <protection hidden="1"/>
    </xf>
    <xf numFmtId="0" fontId="16" fillId="0" borderId="0" xfId="1" applyFont="1" applyFill="1" applyAlignment="1" applyProtection="1">
      <alignment vertical="top"/>
      <protection hidden="1"/>
    </xf>
    <xf numFmtId="0" fontId="1" fillId="0" borderId="0" xfId="1" applyFont="1" applyFill="1" applyAlignment="1" applyProtection="1">
      <alignment horizontal="right" vertical="top"/>
      <protection hidden="1"/>
    </xf>
    <xf numFmtId="0" fontId="22" fillId="0" borderId="11" xfId="1" applyFont="1" applyFill="1" applyBorder="1" applyAlignment="1" applyProtection="1">
      <alignment horizontal="center" vertical="center"/>
      <protection hidden="1"/>
    </xf>
    <xf numFmtId="0" fontId="17" fillId="0" borderId="0" xfId="1" applyFont="1" applyFill="1" applyAlignment="1" applyProtection="1">
      <alignment horizontal="center" shrinkToFit="1"/>
      <protection hidden="1"/>
    </xf>
    <xf numFmtId="0" fontId="1" fillId="0" borderId="0" xfId="1" applyFill="1" applyAlignment="1" applyProtection="1">
      <protection hidden="1"/>
    </xf>
    <xf numFmtId="0" fontId="20" fillId="0" borderId="0" xfId="1" applyFont="1" applyAlignment="1" applyProtection="1">
      <alignment horizontal="center" vertical="top"/>
      <protection hidden="1"/>
    </xf>
    <xf numFmtId="0" fontId="1" fillId="0" borderId="0" xfId="1" applyFont="1" applyFill="1" applyAlignment="1" applyProtection="1">
      <protection hidden="1"/>
    </xf>
    <xf numFmtId="0" fontId="12" fillId="0" borderId="0" xfId="1" applyFont="1" applyFill="1" applyAlignment="1" applyProtection="1">
      <alignment horizontal="right" vertical="top"/>
      <protection hidden="1"/>
    </xf>
    <xf numFmtId="0" fontId="1" fillId="0" borderId="0" xfId="1" applyFont="1" applyAlignment="1" applyProtection="1">
      <protection hidden="1"/>
    </xf>
    <xf numFmtId="0" fontId="12" fillId="0" borderId="0" xfId="1" applyFont="1" applyBorder="1" applyAlignment="1" applyProtection="1">
      <protection hidden="1"/>
    </xf>
    <xf numFmtId="0" fontId="25" fillId="0" borderId="11" xfId="1" applyFont="1" applyBorder="1" applyAlignment="1" applyProtection="1">
      <protection hidden="1"/>
    </xf>
    <xf numFmtId="0" fontId="18" fillId="0" borderId="0" xfId="1" applyFont="1" applyBorder="1" applyProtection="1">
      <protection hidden="1"/>
    </xf>
    <xf numFmtId="0" fontId="1" fillId="0" borderId="0" xfId="1" applyFont="1" applyFill="1" applyAlignment="1" applyProtection="1">
      <alignment horizontal="left"/>
      <protection hidden="1"/>
    </xf>
    <xf numFmtId="0" fontId="1" fillId="7" borderId="0" xfId="1" applyFill="1" applyProtection="1">
      <protection hidden="1"/>
    </xf>
    <xf numFmtId="0" fontId="3" fillId="7" borderId="0" xfId="1" applyFont="1" applyFill="1" applyProtection="1">
      <protection hidden="1"/>
    </xf>
    <xf numFmtId="0" fontId="17" fillId="0" borderId="0" xfId="1" applyFont="1" applyFill="1" applyAlignment="1" applyProtection="1">
      <alignment shrinkToFit="1"/>
      <protection hidden="1"/>
    </xf>
    <xf numFmtId="0" fontId="1" fillId="2" borderId="0" xfId="1" applyFill="1" applyAlignment="1" applyProtection="1">
      <alignment horizontal="left"/>
      <protection locked="0" hidden="1"/>
    </xf>
    <xf numFmtId="0" fontId="1" fillId="0" borderId="0" xfId="1" applyFill="1" applyAlignment="1" applyProtection="1">
      <alignment horizontal="left"/>
      <protection hidden="1"/>
    </xf>
    <xf numFmtId="58" fontId="1" fillId="2" borderId="0" xfId="1" applyNumberFormat="1" applyFont="1" applyFill="1" applyAlignment="1" applyProtection="1">
      <alignment horizontal="left"/>
      <protection locked="0" hidden="1"/>
    </xf>
    <xf numFmtId="0" fontId="15" fillId="2" borderId="0" xfId="1" applyFont="1" applyFill="1" applyBorder="1" applyAlignment="1" applyProtection="1">
      <alignment horizontal="right" vertical="center" shrinkToFit="1"/>
      <protection locked="0" hidden="1"/>
    </xf>
    <xf numFmtId="0" fontId="12" fillId="0" borderId="0" xfId="1" applyFont="1" applyFill="1" applyBorder="1" applyAlignment="1" applyProtection="1">
      <alignment horizontal="center" vertical="center" shrinkToFit="1"/>
      <protection locked="0" hidden="1"/>
    </xf>
    <xf numFmtId="0" fontId="15" fillId="2" borderId="13" xfId="1" applyFont="1" applyFill="1" applyBorder="1" applyAlignment="1" applyProtection="1">
      <alignment horizontal="right" vertical="center" shrinkToFit="1"/>
      <protection locked="0" hidden="1"/>
    </xf>
    <xf numFmtId="0" fontId="12" fillId="0" borderId="13" xfId="1" applyFont="1" applyFill="1" applyBorder="1" applyAlignment="1" applyProtection="1">
      <alignment horizontal="center" vertical="center" shrinkToFit="1"/>
      <protection locked="0" hidden="1"/>
    </xf>
    <xf numFmtId="0" fontId="1" fillId="0" borderId="2" xfId="1" applyNumberFormat="1" applyFill="1" applyBorder="1" applyAlignment="1" applyProtection="1">
      <alignment horizontal="left" vertical="center" shrinkToFit="1"/>
      <protection hidden="1"/>
    </xf>
    <xf numFmtId="0" fontId="1" fillId="0" borderId="13" xfId="1" applyNumberFormat="1" applyFill="1" applyBorder="1" applyAlignment="1" applyProtection="1">
      <alignment horizontal="left" vertical="center" shrinkToFit="1"/>
      <protection hidden="1"/>
    </xf>
    <xf numFmtId="0" fontId="1" fillId="0" borderId="0" xfId="1" applyBorder="1" applyProtection="1">
      <protection hidden="1"/>
    </xf>
    <xf numFmtId="0" fontId="1" fillId="0" borderId="0" xfId="1" applyFill="1" applyBorder="1" applyAlignment="1" applyProtection="1">
      <alignment vertical="center"/>
      <protection hidden="1"/>
    </xf>
    <xf numFmtId="0" fontId="1" fillId="0" borderId="0" xfId="1" applyFill="1" applyAlignment="1" applyProtection="1">
      <alignment horizontal="left" vertical="top"/>
      <protection hidden="1"/>
    </xf>
    <xf numFmtId="0" fontId="13" fillId="0" borderId="0" xfId="1" applyFont="1" applyFill="1" applyAlignment="1" applyProtection="1">
      <alignment horizontal="center" vertical="top"/>
      <protection hidden="1"/>
    </xf>
    <xf numFmtId="0" fontId="13" fillId="0" borderId="0" xfId="1" applyFont="1" applyProtection="1">
      <protection hidden="1"/>
    </xf>
    <xf numFmtId="0" fontId="13" fillId="0" borderId="0" xfId="1" applyFont="1" applyFill="1" applyProtection="1">
      <protection hidden="1"/>
    </xf>
    <xf numFmtId="0" fontId="26" fillId="0" borderId="0" xfId="1" applyFont="1" applyAlignment="1" applyProtection="1">
      <protection hidden="1"/>
    </xf>
    <xf numFmtId="0" fontId="13" fillId="0" borderId="0" xfId="1" applyFont="1" applyFill="1" applyAlignment="1" applyProtection="1">
      <protection hidden="1"/>
    </xf>
    <xf numFmtId="0" fontId="1" fillId="0" borderId="0" xfId="1" applyFill="1" applyAlignment="1" applyProtection="1">
      <alignment horizontal="center"/>
      <protection hidden="1"/>
    </xf>
    <xf numFmtId="176" fontId="13" fillId="0" borderId="0" xfId="1" applyNumberFormat="1" applyFont="1" applyFill="1" applyAlignment="1" applyProtection="1">
      <protection hidden="1"/>
    </xf>
    <xf numFmtId="0" fontId="15" fillId="0" borderId="0" xfId="1" applyFont="1" applyFill="1" applyBorder="1" applyAlignment="1" applyProtection="1">
      <alignment horizontal="center" vertical="center" shrinkToFit="1"/>
      <protection hidden="1"/>
    </xf>
    <xf numFmtId="0" fontId="12" fillId="0" borderId="0" xfId="1" applyFont="1" applyFill="1" applyBorder="1" applyAlignment="1" applyProtection="1">
      <protection hidden="1"/>
    </xf>
    <xf numFmtId="0" fontId="25" fillId="0" borderId="11" xfId="1" applyFont="1" applyFill="1" applyBorder="1" applyAlignment="1" applyProtection="1">
      <alignment horizontal="center"/>
      <protection hidden="1"/>
    </xf>
    <xf numFmtId="0" fontId="18" fillId="0" borderId="0" xfId="1" applyFont="1" applyProtection="1">
      <protection hidden="1"/>
    </xf>
    <xf numFmtId="0" fontId="18" fillId="0" borderId="0" xfId="1" applyFont="1" applyAlignment="1" applyProtection="1">
      <alignment horizontal="left"/>
      <protection hidden="1"/>
    </xf>
    <xf numFmtId="0" fontId="16" fillId="0" borderId="0" xfId="1" applyFont="1" applyFill="1" applyAlignment="1" applyProtection="1">
      <alignment horizontal="center"/>
      <protection hidden="1"/>
    </xf>
    <xf numFmtId="0" fontId="1" fillId="8" borderId="0" xfId="1" applyFill="1" applyProtection="1">
      <protection hidden="1"/>
    </xf>
    <xf numFmtId="0" fontId="3" fillId="8" borderId="0" xfId="1" applyFont="1" applyFill="1" applyProtection="1">
      <protection hidden="1"/>
    </xf>
    <xf numFmtId="0" fontId="23" fillId="0" borderId="0" xfId="1" applyFont="1" applyProtection="1">
      <protection hidden="1"/>
    </xf>
    <xf numFmtId="0" fontId="1" fillId="0" borderId="1" xfId="1" applyBorder="1" applyProtection="1">
      <protection locked="0" hidden="1"/>
    </xf>
    <xf numFmtId="0" fontId="1" fillId="0" borderId="5" xfId="1" applyBorder="1" applyProtection="1">
      <protection locked="0" hidden="1"/>
    </xf>
    <xf numFmtId="0" fontId="1" fillId="0" borderId="0" xfId="1" applyBorder="1" applyProtection="1">
      <protection locked="0" hidden="1"/>
    </xf>
    <xf numFmtId="0" fontId="28" fillId="0" borderId="0" xfId="1" applyFont="1" applyAlignment="1" applyProtection="1">
      <protection locked="0" hidden="1"/>
    </xf>
    <xf numFmtId="0" fontId="28" fillId="0" borderId="0" xfId="1" applyFont="1" applyBorder="1" applyAlignment="1" applyProtection="1">
      <protection locked="0" hidden="1"/>
    </xf>
    <xf numFmtId="0" fontId="8" fillId="0" borderId="0" xfId="1" applyFont="1" applyBorder="1" applyAlignment="1" applyProtection="1">
      <alignment vertical="distributed" textRotation="255"/>
      <protection locked="0" hidden="1"/>
    </xf>
    <xf numFmtId="0" fontId="1" fillId="0" borderId="0" xfId="1" applyBorder="1" applyAlignment="1" applyProtection="1">
      <alignment vertical="center" textRotation="255"/>
      <protection locked="0" hidden="1"/>
    </xf>
    <xf numFmtId="0" fontId="28" fillId="0" borderId="0" xfId="1" applyFont="1" applyBorder="1" applyAlignment="1" applyProtection="1">
      <alignment vertical="center" shrinkToFit="1"/>
      <protection locked="0" hidden="1"/>
    </xf>
    <xf numFmtId="0" fontId="1" fillId="0" borderId="0" xfId="1" applyBorder="1" applyAlignment="1" applyProtection="1">
      <alignment vertical="center"/>
      <protection locked="0" hidden="1"/>
    </xf>
    <xf numFmtId="0" fontId="8" fillId="0" borderId="12" xfId="1" applyFont="1" applyBorder="1" applyAlignment="1" applyProtection="1">
      <alignment vertical="distributed" textRotation="255"/>
      <protection locked="0" hidden="1"/>
    </xf>
    <xf numFmtId="0" fontId="1" fillId="0" borderId="15" xfId="1" applyBorder="1" applyProtection="1">
      <protection locked="0" hidden="1"/>
    </xf>
    <xf numFmtId="0" fontId="12" fillId="0" borderId="0" xfId="1" applyFont="1" applyBorder="1" applyAlignment="1" applyProtection="1">
      <protection locked="0" hidden="1"/>
    </xf>
    <xf numFmtId="0" fontId="1" fillId="0" borderId="0" xfId="1" applyFont="1" applyBorder="1" applyAlignment="1" applyProtection="1">
      <alignment horizontal="left"/>
      <protection locked="0" hidden="1"/>
    </xf>
    <xf numFmtId="0" fontId="1" fillId="0" borderId="0" xfId="1" applyFont="1" applyBorder="1" applyAlignment="1" applyProtection="1">
      <alignment horizontal="right"/>
      <protection locked="0" hidden="1"/>
    </xf>
    <xf numFmtId="0" fontId="1" fillId="0" borderId="0" xfId="1" applyFont="1" applyBorder="1" applyAlignment="1" applyProtection="1">
      <protection locked="0" hidden="1"/>
    </xf>
    <xf numFmtId="0" fontId="1" fillId="0" borderId="0" xfId="1" applyFont="1" applyBorder="1" applyProtection="1">
      <protection locked="0" hidden="1"/>
    </xf>
    <xf numFmtId="0" fontId="12" fillId="0" borderId="0" xfId="1" applyFont="1" applyBorder="1" applyProtection="1">
      <protection locked="0" hidden="1"/>
    </xf>
    <xf numFmtId="0" fontId="1" fillId="0" borderId="11" xfId="1" applyBorder="1" applyProtection="1">
      <protection locked="0" hidden="1"/>
    </xf>
    <xf numFmtId="0" fontId="1" fillId="0" borderId="0" xfId="1" applyBorder="1" applyAlignment="1" applyProtection="1">
      <alignment horizontal="center" vertical="center"/>
      <protection hidden="1"/>
    </xf>
    <xf numFmtId="0" fontId="1" fillId="0" borderId="9" xfId="1" applyBorder="1" applyProtection="1">
      <protection locked="0" hidden="1"/>
    </xf>
    <xf numFmtId="0" fontId="1" fillId="0" borderId="11" xfId="1" applyFont="1" applyBorder="1" applyAlignment="1" applyProtection="1">
      <alignment shrinkToFit="1"/>
      <protection locked="0" hidden="1"/>
    </xf>
    <xf numFmtId="0" fontId="28" fillId="0" borderId="0" xfId="1" applyFont="1" applyBorder="1" applyAlignment="1" applyProtection="1">
      <alignment horizontal="center"/>
      <protection locked="0" hidden="1"/>
    </xf>
    <xf numFmtId="0" fontId="28" fillId="0" borderId="11" xfId="1" applyFont="1" applyBorder="1" applyAlignment="1" applyProtection="1">
      <alignment horizontal="left"/>
      <protection locked="0" hidden="1"/>
    </xf>
    <xf numFmtId="0" fontId="28" fillId="0" borderId="0" xfId="1" applyFont="1" applyBorder="1" applyAlignment="1" applyProtection="1">
      <alignment horizontal="left"/>
      <protection locked="0" hidden="1"/>
    </xf>
    <xf numFmtId="0" fontId="1" fillId="0" borderId="0" xfId="1" applyFont="1" applyBorder="1" applyAlignment="1" applyProtection="1">
      <alignment horizontal="center" vertical="center"/>
      <protection hidden="1"/>
    </xf>
    <xf numFmtId="0" fontId="28" fillId="0" borderId="9" xfId="1" applyFont="1" applyBorder="1" applyAlignment="1" applyProtection="1">
      <alignment horizontal="left"/>
      <protection locked="0" hidden="1"/>
    </xf>
    <xf numFmtId="0" fontId="13" fillId="0" borderId="0" xfId="1" applyFont="1" applyBorder="1" applyAlignment="1" applyProtection="1">
      <alignment horizontal="center"/>
      <protection locked="0" hidden="1"/>
    </xf>
    <xf numFmtId="0" fontId="1" fillId="0" borderId="11" xfId="1" applyFont="1" applyBorder="1" applyAlignment="1" applyProtection="1">
      <alignment horizontal="center"/>
      <protection locked="0" hidden="1"/>
    </xf>
    <xf numFmtId="0" fontId="1" fillId="0" borderId="0" xfId="1" applyFont="1" applyBorder="1" applyAlignment="1" applyProtection="1">
      <alignment horizontal="center"/>
      <protection locked="0" hidden="1"/>
    </xf>
    <xf numFmtId="0" fontId="1" fillId="0" borderId="11" xfId="1" applyFont="1" applyBorder="1" applyProtection="1">
      <protection locked="0" hidden="1"/>
    </xf>
    <xf numFmtId="0" fontId="1" fillId="0" borderId="9" xfId="1" applyFont="1" applyBorder="1" applyProtection="1">
      <protection locked="0" hidden="1"/>
    </xf>
    <xf numFmtId="0" fontId="1" fillId="0" borderId="9" xfId="1" applyFont="1" applyBorder="1" applyAlignment="1" applyProtection="1">
      <alignment horizontal="center"/>
      <protection locked="0" hidden="1"/>
    </xf>
    <xf numFmtId="0" fontId="1" fillId="0" borderId="0" xfId="1" applyFont="1" applyBorder="1" applyAlignment="1" applyProtection="1">
      <alignment horizontal="left" shrinkToFit="1"/>
      <protection locked="0" hidden="1"/>
    </xf>
    <xf numFmtId="0" fontId="12" fillId="0" borderId="11" xfId="1" applyFont="1" applyBorder="1" applyAlignment="1" applyProtection="1">
      <alignment horizontal="center" vertical="top"/>
      <protection locked="0" hidden="1"/>
    </xf>
    <xf numFmtId="0" fontId="12" fillId="0" borderId="0" xfId="1" applyFont="1" applyBorder="1" applyAlignment="1" applyProtection="1">
      <alignment horizontal="center" vertical="top"/>
      <protection locked="0" hidden="1"/>
    </xf>
    <xf numFmtId="0" fontId="1" fillId="0" borderId="0" xfId="1" applyFont="1" applyBorder="1" applyAlignment="1" applyProtection="1">
      <alignment horizontal="right" shrinkToFit="1"/>
      <protection locked="0" hidden="1"/>
    </xf>
    <xf numFmtId="0" fontId="1" fillId="0" borderId="11" xfId="1" applyFont="1" applyBorder="1" applyAlignment="1" applyProtection="1">
      <alignment horizontal="left" shrinkToFit="1"/>
      <protection locked="0" hidden="1"/>
    </xf>
    <xf numFmtId="0" fontId="1" fillId="0" borderId="9" xfId="1" applyFont="1" applyBorder="1" applyAlignment="1" applyProtection="1">
      <protection locked="0" hidden="1"/>
    </xf>
    <xf numFmtId="0" fontId="12" fillId="0" borderId="9" xfId="1" applyFont="1" applyBorder="1" applyAlignment="1" applyProtection="1">
      <alignment horizontal="center" vertical="top"/>
      <protection locked="0" hidden="1"/>
    </xf>
    <xf numFmtId="177" fontId="1" fillId="0" borderId="0" xfId="1" applyNumberFormat="1" applyFont="1" applyFill="1" applyBorder="1" applyAlignment="1" applyProtection="1">
      <alignment horizontal="center"/>
      <protection locked="0" hidden="1"/>
    </xf>
    <xf numFmtId="0" fontId="15" fillId="0" borderId="0" xfId="1" applyFont="1" applyBorder="1" applyProtection="1">
      <protection locked="0" hidden="1"/>
    </xf>
    <xf numFmtId="0" fontId="15" fillId="0" borderId="11" xfId="1" applyFont="1" applyBorder="1" applyProtection="1">
      <protection locked="0" hidden="1"/>
    </xf>
    <xf numFmtId="0" fontId="15" fillId="0" borderId="2" xfId="1" applyFont="1" applyBorder="1" applyProtection="1">
      <protection locked="0" hidden="1"/>
    </xf>
    <xf numFmtId="0" fontId="15" fillId="0" borderId="5" xfId="1" applyFont="1" applyBorder="1" applyProtection="1">
      <protection locked="0" hidden="1"/>
    </xf>
    <xf numFmtId="0" fontId="15" fillId="0" borderId="9" xfId="1" applyFont="1" applyBorder="1" applyProtection="1">
      <protection locked="0" hidden="1"/>
    </xf>
    <xf numFmtId="0" fontId="12" fillId="0" borderId="11" xfId="1" applyFont="1" applyFill="1" applyBorder="1" applyProtection="1">
      <protection locked="0" hidden="1"/>
    </xf>
    <xf numFmtId="0" fontId="15" fillId="0" borderId="0" xfId="1" applyFont="1" applyFill="1" applyBorder="1" applyProtection="1">
      <protection locked="0" hidden="1"/>
    </xf>
    <xf numFmtId="0" fontId="12" fillId="0" borderId="0" xfId="1" applyFont="1" applyFill="1" applyBorder="1" applyProtection="1">
      <protection locked="0" hidden="1"/>
    </xf>
    <xf numFmtId="0" fontId="12" fillId="0" borderId="9" xfId="1" applyFont="1" applyFill="1" applyBorder="1" applyProtection="1">
      <protection locked="0" hidden="1"/>
    </xf>
    <xf numFmtId="0" fontId="1" fillId="0" borderId="0" xfId="1" applyFill="1" applyBorder="1" applyProtection="1">
      <protection locked="0" hidden="1"/>
    </xf>
    <xf numFmtId="0" fontId="13" fillId="0" borderId="0" xfId="1" applyFont="1" applyBorder="1" applyProtection="1">
      <protection locked="0" hidden="1"/>
    </xf>
    <xf numFmtId="0" fontId="13" fillId="0" borderId="11" xfId="1" applyFont="1" applyBorder="1" applyProtection="1">
      <protection locked="0" hidden="1"/>
    </xf>
    <xf numFmtId="0" fontId="1" fillId="0" borderId="11" xfId="1" applyFont="1" applyBorder="1" applyAlignment="1" applyProtection="1">
      <protection locked="0" hidden="1"/>
    </xf>
    <xf numFmtId="176" fontId="1" fillId="0" borderId="0" xfId="1" applyNumberFormat="1" applyFont="1" applyBorder="1" applyProtection="1">
      <protection locked="0" hidden="1"/>
    </xf>
    <xf numFmtId="0" fontId="18" fillId="0" borderId="0" xfId="1" applyFont="1" applyBorder="1" applyAlignment="1" applyProtection="1">
      <alignment horizontal="center"/>
      <protection hidden="1"/>
    </xf>
    <xf numFmtId="0" fontId="1" fillId="0" borderId="13" xfId="1" applyFont="1" applyBorder="1" applyProtection="1">
      <protection locked="0" hidden="1"/>
    </xf>
    <xf numFmtId="176" fontId="1" fillId="0" borderId="15" xfId="1" applyNumberFormat="1" applyFont="1" applyBorder="1" applyProtection="1">
      <protection locked="0" hidden="1"/>
    </xf>
    <xf numFmtId="0" fontId="28" fillId="0" borderId="0" xfId="1" applyFont="1" applyBorder="1" applyAlignment="1" applyProtection="1">
      <alignment horizontal="center" vertical="center"/>
      <protection hidden="1"/>
    </xf>
    <xf numFmtId="0" fontId="29" fillId="0" borderId="2" xfId="1" applyFont="1" applyBorder="1" applyProtection="1">
      <protection locked="0" hidden="1"/>
    </xf>
    <xf numFmtId="0" fontId="29" fillId="0" borderId="5" xfId="1" applyFont="1" applyBorder="1" applyProtection="1">
      <protection locked="0" hidden="1"/>
    </xf>
    <xf numFmtId="0" fontId="29" fillId="0" borderId="2" xfId="1" applyNumberFormat="1" applyFont="1" applyBorder="1" applyAlignment="1" applyProtection="1">
      <protection locked="0" hidden="1"/>
    </xf>
    <xf numFmtId="176" fontId="1" fillId="0" borderId="13" xfId="1" applyNumberFormat="1" applyFont="1" applyBorder="1" applyProtection="1">
      <protection locked="0" hidden="1"/>
    </xf>
    <xf numFmtId="0" fontId="12" fillId="0" borderId="11" xfId="1" applyFont="1" applyBorder="1" applyProtection="1">
      <protection locked="0" hidden="1"/>
    </xf>
    <xf numFmtId="0" fontId="26" fillId="0" borderId="0" xfId="1" applyFont="1" applyBorder="1" applyProtection="1">
      <protection locked="0" hidden="1"/>
    </xf>
    <xf numFmtId="0" fontId="26" fillId="0" borderId="11" xfId="1" applyFont="1" applyBorder="1" applyProtection="1">
      <protection locked="0" hidden="1"/>
    </xf>
    <xf numFmtId="0" fontId="29" fillId="0" borderId="33" xfId="1" applyNumberFormat="1" applyFont="1" applyBorder="1" applyAlignment="1" applyProtection="1">
      <protection locked="0" hidden="1"/>
    </xf>
    <xf numFmtId="0" fontId="30" fillId="0" borderId="0" xfId="1" applyFont="1" applyBorder="1" applyAlignment="1" applyProtection="1">
      <alignment horizontal="center"/>
      <protection hidden="1"/>
    </xf>
    <xf numFmtId="177" fontId="4" fillId="0" borderId="0" xfId="1" applyNumberFormat="1" applyFont="1" applyFill="1" applyBorder="1" applyAlignment="1" applyProtection="1">
      <alignment horizontal="center"/>
      <protection locked="0" hidden="1"/>
    </xf>
    <xf numFmtId="0" fontId="6" fillId="0" borderId="0" xfId="1" applyFont="1" applyBorder="1" applyAlignment="1" applyProtection="1">
      <alignment vertical="center"/>
      <protection locked="0" hidden="1"/>
    </xf>
    <xf numFmtId="0" fontId="6" fillId="0" borderId="34" xfId="1" applyFont="1" applyBorder="1" applyAlignment="1" applyProtection="1">
      <alignment vertical="center"/>
      <protection locked="0" hidden="1"/>
    </xf>
    <xf numFmtId="0" fontId="4" fillId="0" borderId="0" xfId="1" applyFont="1" applyBorder="1" applyAlignment="1" applyProtection="1">
      <alignment vertical="center"/>
      <protection locked="0" hidden="1"/>
    </xf>
    <xf numFmtId="0" fontId="29" fillId="0" borderId="2" xfId="1" applyFont="1" applyBorder="1" applyAlignment="1" applyProtection="1">
      <alignment horizontal="center"/>
      <protection locked="0" hidden="1"/>
    </xf>
    <xf numFmtId="0" fontId="29" fillId="0" borderId="35" xfId="1" applyFont="1" applyBorder="1" applyAlignment="1" applyProtection="1">
      <alignment horizontal="center"/>
      <protection locked="0" hidden="1"/>
    </xf>
    <xf numFmtId="0" fontId="28" fillId="0" borderId="0" xfId="1" applyFont="1" applyBorder="1" applyProtection="1">
      <protection locked="0" hidden="1"/>
    </xf>
    <xf numFmtId="0" fontId="28" fillId="0" borderId="36" xfId="1" applyFont="1" applyBorder="1" applyProtection="1">
      <protection locked="0" hidden="1"/>
    </xf>
    <xf numFmtId="0" fontId="28" fillId="0" borderId="13" xfId="1" applyNumberFormat="1" applyFont="1" applyBorder="1" applyProtection="1">
      <protection locked="0" hidden="1"/>
    </xf>
    <xf numFmtId="0" fontId="8" fillId="0" borderId="0" xfId="1" applyFont="1" applyBorder="1" applyProtection="1">
      <protection locked="0" hidden="1"/>
    </xf>
    <xf numFmtId="0" fontId="28" fillId="0" borderId="9" xfId="1" applyFont="1" applyBorder="1" applyAlignment="1" applyProtection="1">
      <alignment vertical="center" shrinkToFit="1"/>
      <protection locked="0" hidden="1"/>
    </xf>
    <xf numFmtId="0" fontId="28" fillId="0" borderId="11" xfId="1" applyFont="1" applyBorder="1" applyAlignment="1" applyProtection="1">
      <alignment vertical="center" shrinkToFit="1"/>
      <protection locked="0" hidden="1"/>
    </xf>
    <xf numFmtId="0" fontId="1" fillId="0" borderId="2" xfId="1" applyFont="1" applyBorder="1" applyAlignment="1" applyProtection="1">
      <alignment horizontal="left"/>
      <protection locked="0" hidden="1"/>
    </xf>
    <xf numFmtId="0" fontId="1" fillId="0" borderId="2" xfId="1" applyFont="1" applyBorder="1" applyAlignment="1" applyProtection="1">
      <alignment horizontal="right"/>
      <protection locked="0" hidden="1"/>
    </xf>
    <xf numFmtId="0" fontId="15" fillId="0" borderId="1" xfId="1" applyFont="1" applyBorder="1" applyProtection="1">
      <protection locked="0" hidden="1"/>
    </xf>
    <xf numFmtId="0" fontId="12" fillId="0" borderId="9" xfId="1" applyFont="1" applyBorder="1" applyProtection="1">
      <protection locked="0" hidden="1"/>
    </xf>
    <xf numFmtId="0" fontId="29" fillId="0" borderId="33" xfId="1" applyFont="1" applyBorder="1" applyAlignment="1" applyProtection="1">
      <alignment horizontal="center"/>
      <protection locked="0" hidden="1"/>
    </xf>
    <xf numFmtId="0" fontId="28" fillId="0" borderId="13" xfId="1" applyFont="1" applyBorder="1" applyProtection="1">
      <protection locked="0" hidden="1"/>
    </xf>
    <xf numFmtId="0" fontId="28" fillId="0" borderId="34" xfId="1" applyNumberFormat="1" applyFont="1" applyBorder="1" applyProtection="1">
      <protection locked="0" hidden="1"/>
    </xf>
    <xf numFmtId="0" fontId="3" fillId="0" borderId="0" xfId="1" applyFont="1" applyProtection="1">
      <protection locked="0" hidden="1"/>
    </xf>
    <xf numFmtId="0" fontId="3" fillId="0" borderId="0" xfId="1" applyFont="1" applyAlignment="1" applyProtection="1">
      <alignment horizontal="center"/>
      <protection locked="0" hidden="1"/>
    </xf>
    <xf numFmtId="181" fontId="3" fillId="0" borderId="0" xfId="1" applyNumberFormat="1" applyFont="1" applyAlignment="1" applyProtection="1">
      <alignment horizontal="right"/>
      <protection locked="0" hidden="1"/>
    </xf>
    <xf numFmtId="0" fontId="3" fillId="0" borderId="0" xfId="1" applyFont="1" applyBorder="1" applyProtection="1">
      <protection locked="0" hidden="1"/>
    </xf>
    <xf numFmtId="0" fontId="3" fillId="0" borderId="0" xfId="1" applyFont="1" applyAlignment="1" applyProtection="1">
      <protection locked="0" hidden="1"/>
    </xf>
    <xf numFmtId="180" fontId="3" fillId="0" borderId="0" xfId="1" applyNumberFormat="1" applyFont="1" applyAlignment="1" applyProtection="1">
      <protection locked="0" hidden="1"/>
    </xf>
    <xf numFmtId="0" fontId="3" fillId="0" borderId="0" xfId="1" applyFont="1" applyAlignment="1" applyProtection="1">
      <alignment vertical="center"/>
      <protection locked="0" hidden="1"/>
    </xf>
    <xf numFmtId="0" fontId="3" fillId="0" borderId="15" xfId="1" applyFont="1" applyFill="1" applyBorder="1" applyAlignment="1" applyProtection="1">
      <alignment horizontal="center" vertical="center"/>
      <protection locked="0"/>
    </xf>
    <xf numFmtId="0" fontId="3" fillId="0" borderId="13" xfId="1" applyFont="1" applyFill="1" applyBorder="1" applyAlignment="1" applyProtection="1">
      <alignment horizontal="center" vertical="center"/>
      <protection locked="0"/>
    </xf>
    <xf numFmtId="0" fontId="3" fillId="0" borderId="11" xfId="1" applyNumberFormat="1" applyFont="1" applyFill="1" applyBorder="1" applyAlignment="1" applyProtection="1">
      <alignment horizontal="center" vertical="center"/>
      <protection hidden="1"/>
    </xf>
    <xf numFmtId="0" fontId="3" fillId="0" borderId="0" xfId="1" applyNumberFormat="1" applyFont="1" applyFill="1" applyBorder="1" applyAlignment="1" applyProtection="1">
      <alignment horizontal="center" vertical="center"/>
      <protection hidden="1"/>
    </xf>
    <xf numFmtId="0" fontId="3" fillId="0" borderId="5" xfId="1" applyNumberFormat="1" applyFont="1" applyFill="1" applyBorder="1" applyAlignment="1" applyProtection="1">
      <alignment horizontal="center" vertical="center"/>
      <protection hidden="1"/>
    </xf>
    <xf numFmtId="0" fontId="3" fillId="0" borderId="2" xfId="1" applyNumberFormat="1" applyFont="1" applyFill="1" applyBorder="1" applyAlignment="1" applyProtection="1">
      <alignment horizontal="center" vertical="center"/>
      <protection hidden="1"/>
    </xf>
    <xf numFmtId="49" fontId="3" fillId="0" borderId="0" xfId="1" applyNumberFormat="1" applyFont="1" applyFill="1" applyBorder="1" applyAlignment="1" applyProtection="1">
      <alignment horizontal="center" vertical="center"/>
      <protection locked="0"/>
    </xf>
    <xf numFmtId="49" fontId="3" fillId="0" borderId="2" xfId="1" applyNumberFormat="1" applyFont="1" applyFill="1" applyBorder="1" applyAlignment="1" applyProtection="1">
      <alignment horizontal="center" vertical="center"/>
      <protection locked="0"/>
    </xf>
    <xf numFmtId="0" fontId="9" fillId="0" borderId="23" xfId="1" applyNumberFormat="1" applyFont="1" applyFill="1" applyBorder="1" applyAlignment="1" applyProtection="1">
      <alignment horizontal="center" vertical="center"/>
      <protection locked="0"/>
    </xf>
    <xf numFmtId="0" fontId="9" fillId="0" borderId="20" xfId="1" applyNumberFormat="1" applyFont="1" applyFill="1" applyBorder="1" applyAlignment="1" applyProtection="1">
      <alignment horizontal="center" vertical="center"/>
      <protection locked="0"/>
    </xf>
    <xf numFmtId="176" fontId="7" fillId="0" borderId="22" xfId="1" applyNumberFormat="1" applyFont="1" applyFill="1" applyBorder="1" applyAlignment="1" applyProtection="1">
      <alignment horizontal="center" vertical="center" wrapText="1" shrinkToFit="1"/>
      <protection hidden="1"/>
    </xf>
    <xf numFmtId="176" fontId="7" fillId="0" borderId="0" xfId="1" applyNumberFormat="1" applyFont="1" applyFill="1" applyBorder="1" applyAlignment="1" applyProtection="1">
      <alignment horizontal="center" vertical="center" wrapText="1" shrinkToFit="1"/>
      <protection hidden="1"/>
    </xf>
    <xf numFmtId="176" fontId="7" fillId="0" borderId="4" xfId="1" applyNumberFormat="1" applyFont="1" applyFill="1" applyBorder="1" applyAlignment="1" applyProtection="1">
      <alignment horizontal="center" vertical="center" wrapText="1" shrinkToFit="1"/>
      <protection hidden="1"/>
    </xf>
    <xf numFmtId="176" fontId="7" fillId="0" borderId="2" xfId="1" applyNumberFormat="1" applyFont="1" applyFill="1" applyBorder="1" applyAlignment="1" applyProtection="1">
      <alignment horizontal="center" vertical="center" wrapText="1" shrinkToFi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11" fillId="0" borderId="0" xfId="1" applyFont="1" applyBorder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hidden="1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15" xfId="1" applyFont="1" applyFill="1" applyBorder="1" applyAlignment="1" applyProtection="1">
      <alignment horizontal="center" vertical="center" wrapText="1"/>
      <protection locked="0"/>
    </xf>
    <xf numFmtId="0" fontId="4" fillId="0" borderId="13" xfId="1" applyFont="1" applyFill="1" applyBorder="1" applyAlignment="1" applyProtection="1">
      <alignment horizontal="center" vertical="center" wrapText="1"/>
      <protection locked="0"/>
    </xf>
    <xf numFmtId="0" fontId="4" fillId="0" borderId="5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176" fontId="3" fillId="0" borderId="25" xfId="1" applyNumberFormat="1" applyFont="1" applyBorder="1" applyAlignment="1" applyProtection="1">
      <alignment horizontal="center" vertical="center"/>
      <protection locked="0"/>
    </xf>
    <xf numFmtId="176" fontId="3" fillId="0" borderId="13" xfId="1" applyNumberFormat="1" applyFont="1" applyBorder="1" applyAlignment="1" applyProtection="1">
      <alignment horizontal="center" vertical="center"/>
      <protection locked="0"/>
    </xf>
    <xf numFmtId="176" fontId="3" fillId="0" borderId="24" xfId="1" applyNumberFormat="1" applyFont="1" applyBorder="1" applyAlignment="1" applyProtection="1">
      <alignment horizontal="center" vertical="center"/>
      <protection locked="0"/>
    </xf>
    <xf numFmtId="176" fontId="3" fillId="0" borderId="4" xfId="1" applyNumberFormat="1" applyFont="1" applyBorder="1" applyAlignment="1" applyProtection="1">
      <alignment horizontal="center" vertical="center"/>
      <protection locked="0"/>
    </xf>
    <xf numFmtId="176" fontId="3" fillId="0" borderId="2" xfId="1" applyNumberFormat="1" applyFont="1" applyBorder="1" applyAlignment="1" applyProtection="1">
      <alignment horizontal="center" vertical="center"/>
      <protection locked="0"/>
    </xf>
    <xf numFmtId="176" fontId="3" fillId="0" borderId="19" xfId="1" applyNumberFormat="1" applyFont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 shrinkToFit="1"/>
      <protection hidden="1"/>
    </xf>
    <xf numFmtId="0" fontId="8" fillId="0" borderId="2" xfId="1" applyFont="1" applyFill="1" applyBorder="1" applyAlignment="1" applyProtection="1">
      <alignment horizontal="center" vertical="center" shrinkToFit="1"/>
      <protection hidden="1"/>
    </xf>
    <xf numFmtId="176" fontId="7" fillId="0" borderId="21" xfId="1" applyNumberFormat="1" applyFont="1" applyFill="1" applyBorder="1" applyAlignment="1" applyProtection="1">
      <alignment horizontal="center" vertical="center" wrapText="1" shrinkToFit="1"/>
      <protection hidden="1"/>
    </xf>
    <xf numFmtId="176" fontId="7" fillId="0" borderId="19" xfId="1" applyNumberFormat="1" applyFont="1" applyFill="1" applyBorder="1" applyAlignment="1" applyProtection="1">
      <alignment horizontal="center" vertical="center" wrapText="1" shrinkToFit="1"/>
      <protection hidden="1"/>
    </xf>
    <xf numFmtId="0" fontId="9" fillId="0" borderId="23" xfId="1" applyNumberFormat="1" applyFont="1" applyBorder="1" applyAlignment="1" applyProtection="1">
      <alignment horizontal="center" vertical="center"/>
      <protection locked="0"/>
    </xf>
    <xf numFmtId="0" fontId="9" fillId="0" borderId="20" xfId="1" applyNumberFormat="1" applyFont="1" applyBorder="1" applyAlignment="1" applyProtection="1">
      <alignment horizontal="center" vertical="center"/>
      <protection locked="0"/>
    </xf>
    <xf numFmtId="0" fontId="8" fillId="0" borderId="0" xfId="1" applyFont="1" applyBorder="1" applyAlignment="1" applyProtection="1">
      <alignment horizontal="center" vertical="center" shrinkToFit="1"/>
      <protection hidden="1"/>
    </xf>
    <xf numFmtId="0" fontId="8" fillId="0" borderId="2" xfId="1" applyFont="1" applyBorder="1" applyAlignment="1" applyProtection="1">
      <alignment horizontal="center" vertical="center" shrinkToFit="1"/>
      <protection hidden="1"/>
    </xf>
    <xf numFmtId="179" fontId="11" fillId="0" borderId="2" xfId="1" applyNumberFormat="1" applyFont="1" applyBorder="1" applyAlignment="1" applyProtection="1">
      <alignment horizontal="left"/>
      <protection hidden="1"/>
    </xf>
    <xf numFmtId="0" fontId="3" fillId="0" borderId="11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9" fillId="0" borderId="10" xfId="1" applyNumberFormat="1" applyFont="1" applyBorder="1" applyAlignment="1" applyProtection="1">
      <alignment horizontal="center" vertical="center"/>
      <protection locked="0"/>
    </xf>
    <xf numFmtId="0" fontId="9" fillId="0" borderId="7" xfId="1" applyNumberFormat="1" applyFont="1" applyBorder="1" applyAlignment="1" applyProtection="1">
      <alignment horizontal="center" vertical="center"/>
      <protection locked="0"/>
    </xf>
    <xf numFmtId="0" fontId="9" fillId="0" borderId="9" xfId="1" applyNumberFormat="1" applyFont="1" applyFill="1" applyBorder="1" applyAlignment="1" applyProtection="1">
      <alignment horizontal="center" vertical="center"/>
      <protection locked="0"/>
    </xf>
    <xf numFmtId="0" fontId="9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18" xfId="1" applyFont="1" applyFill="1" applyBorder="1" applyAlignment="1" applyProtection="1">
      <alignment horizontal="center" vertical="center"/>
      <protection locked="0"/>
    </xf>
    <xf numFmtId="0" fontId="4" fillId="0" borderId="17" xfId="1" applyFont="1" applyFill="1" applyBorder="1" applyAlignment="1" applyProtection="1">
      <alignment horizontal="center" vertical="center"/>
      <protection locked="0"/>
    </xf>
    <xf numFmtId="0" fontId="9" fillId="0" borderId="10" xfId="1" applyNumberFormat="1" applyFont="1" applyFill="1" applyBorder="1" applyAlignment="1" applyProtection="1">
      <alignment horizontal="center" vertical="center"/>
      <protection locked="0"/>
    </xf>
    <xf numFmtId="0" fontId="9" fillId="0" borderId="7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horizontal="center" vertical="center"/>
      <protection locked="0"/>
    </xf>
    <xf numFmtId="176" fontId="7" fillId="0" borderId="0" xfId="1" applyNumberFormat="1" applyFont="1" applyFill="1" applyBorder="1" applyAlignment="1" applyProtection="1">
      <alignment horizontal="center" vertical="center" shrinkToFit="1"/>
      <protection hidden="1"/>
    </xf>
    <xf numFmtId="176" fontId="7" fillId="0" borderId="9" xfId="1" applyNumberFormat="1" applyFont="1" applyFill="1" applyBorder="1" applyAlignment="1" applyProtection="1">
      <alignment horizontal="center" vertical="center" shrinkToFit="1"/>
      <protection hidden="1"/>
    </xf>
    <xf numFmtId="0" fontId="4" fillId="0" borderId="2" xfId="1" applyFont="1" applyFill="1" applyBorder="1" applyAlignment="1" applyProtection="1">
      <alignment horizontal="center" vertical="center"/>
      <protection hidden="1"/>
    </xf>
    <xf numFmtId="176" fontId="7" fillId="0" borderId="11" xfId="1" applyNumberFormat="1" applyFont="1" applyFill="1" applyBorder="1" applyAlignment="1" applyProtection="1">
      <alignment horizontal="center" vertical="center" shrinkToFit="1"/>
      <protection hidden="1"/>
    </xf>
    <xf numFmtId="176" fontId="7" fillId="0" borderId="0" xfId="1" applyNumberFormat="1" applyFont="1" applyBorder="1" applyAlignment="1" applyProtection="1">
      <alignment horizontal="center" vertical="center" shrinkToFit="1"/>
      <protection hidden="1"/>
    </xf>
    <xf numFmtId="176" fontId="7" fillId="0" borderId="9" xfId="1" applyNumberFormat="1" applyFont="1" applyBorder="1" applyAlignment="1" applyProtection="1">
      <alignment horizontal="center" vertical="center" shrinkToFit="1"/>
      <protection hidden="1"/>
    </xf>
    <xf numFmtId="0" fontId="4" fillId="0" borderId="17" xfId="1" applyFont="1" applyFill="1" applyBorder="1" applyAlignment="1" applyProtection="1">
      <alignment horizontal="center" vertical="center"/>
      <protection hidden="1"/>
    </xf>
    <xf numFmtId="0" fontId="4" fillId="0" borderId="2" xfId="1" applyFont="1" applyBorder="1" applyAlignment="1" applyProtection="1">
      <alignment horizontal="center" vertical="center"/>
      <protection hidden="1"/>
    </xf>
    <xf numFmtId="0" fontId="8" fillId="0" borderId="0" xfId="1" applyFont="1" applyFill="1" applyAlignment="1" applyProtection="1">
      <alignment horizontal="center"/>
      <protection hidden="1"/>
    </xf>
    <xf numFmtId="0" fontId="17" fillId="0" borderId="0" xfId="1" applyFont="1" applyFill="1" applyAlignment="1" applyProtection="1">
      <alignment horizontal="center" shrinkToFit="1"/>
      <protection hidden="1"/>
    </xf>
    <xf numFmtId="0" fontId="1" fillId="0" borderId="18" xfId="1" applyBorder="1" applyAlignment="1" applyProtection="1">
      <alignment horizontal="center"/>
      <protection hidden="1"/>
    </xf>
    <xf numFmtId="0" fontId="1" fillId="0" borderId="17" xfId="1" applyBorder="1" applyAlignment="1" applyProtection="1">
      <alignment horizontal="center"/>
      <protection hidden="1"/>
    </xf>
    <xf numFmtId="0" fontId="12" fillId="0" borderId="0" xfId="1" applyFont="1" applyBorder="1" applyAlignment="1" applyProtection="1">
      <alignment horizontal="left"/>
      <protection hidden="1"/>
    </xf>
    <xf numFmtId="0" fontId="23" fillId="0" borderId="0" xfId="1" applyFont="1" applyBorder="1" applyAlignment="1" applyProtection="1">
      <alignment horizontal="center" vertical="center"/>
      <protection hidden="1"/>
    </xf>
    <xf numFmtId="0" fontId="23" fillId="0" borderId="9" xfId="1" applyFont="1" applyBorder="1" applyAlignment="1" applyProtection="1">
      <alignment horizontal="center" vertical="center"/>
      <protection hidden="1"/>
    </xf>
    <xf numFmtId="0" fontId="15" fillId="0" borderId="18" xfId="1" applyFont="1" applyFill="1" applyBorder="1" applyAlignment="1" applyProtection="1">
      <alignment horizontal="center" vertical="center" shrinkToFit="1"/>
      <protection hidden="1"/>
    </xf>
    <xf numFmtId="0" fontId="15" fillId="0" borderId="17" xfId="1" applyFont="1" applyFill="1" applyBorder="1" applyAlignment="1" applyProtection="1">
      <alignment horizontal="center" vertical="center" shrinkToFit="1"/>
      <protection hidden="1"/>
    </xf>
    <xf numFmtId="0" fontId="15" fillId="0" borderId="17" xfId="1" applyFont="1" applyFill="1" applyBorder="1" applyAlignment="1" applyProtection="1">
      <alignment vertical="center" shrinkToFit="1"/>
      <protection hidden="1"/>
    </xf>
    <xf numFmtId="0" fontId="6" fillId="0" borderId="0" xfId="1" applyFont="1" applyFill="1" applyBorder="1" applyAlignment="1" applyProtection="1">
      <alignment horizontal="left" vertical="center"/>
      <protection hidden="1"/>
    </xf>
    <xf numFmtId="0" fontId="15" fillId="0" borderId="16" xfId="1" applyFont="1" applyFill="1" applyBorder="1" applyAlignment="1" applyProtection="1">
      <alignment vertical="center" shrinkToFit="1"/>
      <protection hidden="1"/>
    </xf>
    <xf numFmtId="0" fontId="17" fillId="0" borderId="0" xfId="1" applyFont="1" applyFill="1" applyAlignment="1" applyProtection="1">
      <alignment horizontal="center" vertical="center" shrinkToFit="1"/>
      <protection hidden="1"/>
    </xf>
    <xf numFmtId="0" fontId="1" fillId="0" borderId="0" xfId="1" applyFill="1" applyBorder="1" applyAlignment="1" applyProtection="1">
      <alignment horizontal="center"/>
      <protection hidden="1"/>
    </xf>
    <xf numFmtId="176" fontId="15" fillId="0" borderId="13" xfId="1" applyNumberFormat="1" applyFont="1" applyFill="1" applyBorder="1" applyAlignment="1" applyProtection="1">
      <alignment horizontal="center" vertical="center" shrinkToFit="1"/>
      <protection hidden="1"/>
    </xf>
    <xf numFmtId="176" fontId="15" fillId="0" borderId="2" xfId="1" applyNumberFormat="1" applyFont="1" applyFill="1" applyBorder="1" applyAlignment="1" applyProtection="1">
      <alignment horizontal="center" vertical="center" shrinkToFit="1"/>
      <protection hidden="1"/>
    </xf>
    <xf numFmtId="0" fontId="14" fillId="0" borderId="13" xfId="1" applyFont="1" applyFill="1" applyBorder="1" applyAlignment="1" applyProtection="1">
      <alignment horizontal="right" vertical="center" shrinkToFit="1"/>
      <protection hidden="1"/>
    </xf>
    <xf numFmtId="0" fontId="14" fillId="0" borderId="2" xfId="1" applyFont="1" applyFill="1" applyBorder="1" applyAlignment="1" applyProtection="1">
      <alignment horizontal="right" vertical="center" shrinkToFit="1"/>
      <protection hidden="1"/>
    </xf>
    <xf numFmtId="0" fontId="14" fillId="0" borderId="13" xfId="1" applyFont="1" applyFill="1" applyBorder="1" applyAlignment="1" applyProtection="1">
      <alignment horizontal="center" vertical="center" shrinkToFit="1"/>
      <protection hidden="1"/>
    </xf>
    <xf numFmtId="0" fontId="14" fillId="0" borderId="2" xfId="1" applyFont="1" applyFill="1" applyBorder="1" applyAlignment="1" applyProtection="1">
      <alignment horizontal="center" vertical="center" shrinkToFit="1"/>
      <protection hidden="1"/>
    </xf>
    <xf numFmtId="176" fontId="15" fillId="6" borderId="13" xfId="1" applyNumberFormat="1" applyFont="1" applyFill="1" applyBorder="1" applyAlignment="1" applyProtection="1">
      <alignment horizontal="center" vertical="center" shrinkToFit="1"/>
      <protection hidden="1"/>
    </xf>
    <xf numFmtId="176" fontId="15" fillId="6" borderId="2" xfId="1" applyNumberFormat="1" applyFont="1" applyFill="1" applyBorder="1" applyAlignment="1" applyProtection="1">
      <alignment horizontal="center" vertical="center" shrinkToFit="1"/>
      <protection hidden="1"/>
    </xf>
    <xf numFmtId="176" fontId="18" fillId="6" borderId="12" xfId="1" applyNumberFormat="1" applyFont="1" applyFill="1" applyBorder="1" applyAlignment="1" applyProtection="1">
      <alignment horizontal="center" vertical="center" shrinkToFit="1"/>
      <protection hidden="1"/>
    </xf>
    <xf numFmtId="176" fontId="18" fillId="6" borderId="1" xfId="1" applyNumberFormat="1" applyFont="1" applyFill="1" applyBorder="1" applyAlignment="1" applyProtection="1">
      <alignment horizontal="center" vertical="center" shrinkToFit="1"/>
      <protection hidden="1"/>
    </xf>
    <xf numFmtId="0" fontId="1" fillId="2" borderId="13" xfId="1" applyFont="1" applyFill="1" applyBorder="1" applyAlignment="1" applyProtection="1">
      <alignment horizontal="right" vertical="center"/>
      <protection locked="0" hidden="1"/>
    </xf>
    <xf numFmtId="0" fontId="1" fillId="2" borderId="2" xfId="1" applyFont="1" applyFill="1" applyBorder="1" applyAlignment="1" applyProtection="1">
      <alignment horizontal="right" vertical="center"/>
      <protection locked="0" hidden="1"/>
    </xf>
    <xf numFmtId="0" fontId="1" fillId="0" borderId="16" xfId="1" applyBorder="1" applyAlignment="1" applyProtection="1">
      <alignment horizontal="center"/>
      <protection hidden="1"/>
    </xf>
    <xf numFmtId="0" fontId="1" fillId="0" borderId="15" xfId="1" applyNumberFormat="1" applyFont="1" applyBorder="1" applyAlignment="1" applyProtection="1">
      <alignment horizontal="center" vertical="center"/>
      <protection hidden="1"/>
    </xf>
    <xf numFmtId="0" fontId="1" fillId="0" borderId="13" xfId="1" applyNumberFormat="1" applyFont="1" applyBorder="1" applyAlignment="1" applyProtection="1">
      <alignment horizontal="center" vertical="center"/>
      <protection hidden="1"/>
    </xf>
    <xf numFmtId="0" fontId="1" fillId="0" borderId="5" xfId="1" applyNumberFormat="1" applyFont="1" applyBorder="1" applyAlignment="1" applyProtection="1">
      <alignment horizontal="center" vertical="center"/>
      <protection hidden="1"/>
    </xf>
    <xf numFmtId="0" fontId="1" fillId="0" borderId="2" xfId="1" applyNumberFormat="1" applyFont="1" applyBorder="1" applyAlignment="1" applyProtection="1">
      <alignment horizontal="center" vertical="center"/>
      <protection hidden="1"/>
    </xf>
    <xf numFmtId="0" fontId="4" fillId="0" borderId="13" xfId="1" applyNumberFormat="1" applyFont="1" applyBorder="1" applyAlignment="1" applyProtection="1">
      <alignment horizontal="center" vertical="center"/>
      <protection hidden="1"/>
    </xf>
    <xf numFmtId="0" fontId="4" fillId="0" borderId="2" xfId="1" applyNumberFormat="1" applyFont="1" applyBorder="1" applyAlignment="1" applyProtection="1">
      <alignment horizontal="center" vertical="center"/>
      <protection hidden="1"/>
    </xf>
    <xf numFmtId="0" fontId="4" fillId="0" borderId="13" xfId="1" applyNumberFormat="1" applyFont="1" applyFill="1" applyBorder="1" applyAlignment="1" applyProtection="1">
      <alignment horizontal="right" vertical="center"/>
      <protection hidden="1"/>
    </xf>
    <xf numFmtId="0" fontId="4" fillId="0" borderId="2" xfId="1" applyNumberFormat="1" applyFont="1" applyFill="1" applyBorder="1" applyAlignment="1" applyProtection="1">
      <alignment horizontal="right" vertical="center"/>
      <protection hidden="1"/>
    </xf>
    <xf numFmtId="49" fontId="4" fillId="0" borderId="13" xfId="1" applyNumberFormat="1" applyFont="1" applyFill="1" applyBorder="1" applyAlignment="1" applyProtection="1">
      <alignment horizontal="center" vertical="center"/>
      <protection hidden="1"/>
    </xf>
    <xf numFmtId="49" fontId="4" fillId="0" borderId="2" xfId="1" applyNumberFormat="1" applyFont="1" applyFill="1" applyBorder="1" applyAlignment="1" applyProtection="1">
      <alignment horizontal="center" vertical="center"/>
      <protection hidden="1"/>
    </xf>
    <xf numFmtId="49" fontId="4" fillId="0" borderId="13" xfId="1" applyNumberFormat="1" applyFont="1" applyFill="1" applyBorder="1" applyAlignment="1" applyProtection="1">
      <alignment horizontal="right" vertical="center"/>
      <protection hidden="1"/>
    </xf>
    <xf numFmtId="49" fontId="4" fillId="0" borderId="2" xfId="1" applyNumberFormat="1" applyFont="1" applyFill="1" applyBorder="1" applyAlignment="1" applyProtection="1">
      <alignment horizontal="right" vertical="center"/>
      <protection hidden="1"/>
    </xf>
    <xf numFmtId="0" fontId="18" fillId="0" borderId="13" xfId="1" applyFont="1" applyFill="1" applyBorder="1" applyAlignment="1" applyProtection="1">
      <alignment horizontal="right" vertical="center"/>
      <protection hidden="1"/>
    </xf>
    <xf numFmtId="0" fontId="18" fillId="0" borderId="2" xfId="1" applyFont="1" applyFill="1" applyBorder="1" applyAlignment="1" applyProtection="1">
      <alignment horizontal="right" vertical="center"/>
      <protection hidden="1"/>
    </xf>
    <xf numFmtId="176" fontId="18" fillId="0" borderId="13" xfId="1" applyNumberFormat="1" applyFont="1" applyFill="1" applyBorder="1" applyAlignment="1" applyProtection="1">
      <alignment horizontal="center" vertical="center" shrinkToFit="1"/>
      <protection hidden="1"/>
    </xf>
    <xf numFmtId="176" fontId="18" fillId="0" borderId="2" xfId="1" applyNumberFormat="1" applyFont="1" applyFill="1" applyBorder="1" applyAlignment="1" applyProtection="1">
      <alignment horizontal="center" vertical="center" shrinkToFit="1"/>
      <protection hidden="1"/>
    </xf>
    <xf numFmtId="0" fontId="19" fillId="0" borderId="13" xfId="1" applyFont="1" applyFill="1" applyBorder="1" applyAlignment="1" applyProtection="1">
      <alignment horizontal="right" vertical="center" shrinkToFit="1"/>
      <protection hidden="1"/>
    </xf>
    <xf numFmtId="0" fontId="19" fillId="0" borderId="2" xfId="1" applyFont="1" applyFill="1" applyBorder="1" applyAlignment="1" applyProtection="1">
      <alignment horizontal="right" vertical="center" shrinkToFit="1"/>
      <protection hidden="1"/>
    </xf>
    <xf numFmtId="0" fontId="3" fillId="0" borderId="13" xfId="1" applyFont="1" applyBorder="1" applyAlignment="1" applyProtection="1">
      <alignment horizontal="center"/>
      <protection hidden="1"/>
    </xf>
    <xf numFmtId="0" fontId="1" fillId="2" borderId="0" xfId="1" applyFill="1" applyBorder="1" applyAlignment="1" applyProtection="1">
      <alignment horizontal="center"/>
      <protection hidden="1"/>
    </xf>
    <xf numFmtId="0" fontId="1" fillId="2" borderId="2" xfId="1" applyFill="1" applyBorder="1" applyAlignment="1" applyProtection="1">
      <alignment horizontal="center"/>
      <protection hidden="1"/>
    </xf>
    <xf numFmtId="0" fontId="17" fillId="0" borderId="31" xfId="1" applyFont="1" applyFill="1" applyBorder="1" applyAlignment="1" applyProtection="1">
      <alignment horizontal="center" vertical="center"/>
      <protection hidden="1"/>
    </xf>
    <xf numFmtId="0" fontId="12" fillId="2" borderId="15" xfId="1" applyFont="1" applyFill="1" applyBorder="1" applyAlignment="1" applyProtection="1">
      <alignment vertical="center"/>
      <protection locked="0" hidden="1"/>
    </xf>
    <xf numFmtId="0" fontId="12" fillId="2" borderId="11" xfId="1" applyFont="1" applyFill="1" applyBorder="1" applyAlignment="1" applyProtection="1">
      <alignment vertical="center"/>
      <protection locked="0" hidden="1"/>
    </xf>
    <xf numFmtId="0" fontId="12" fillId="2" borderId="5" xfId="1" applyFont="1" applyFill="1" applyBorder="1" applyAlignment="1" applyProtection="1">
      <alignment vertical="center"/>
      <protection locked="0" hidden="1"/>
    </xf>
    <xf numFmtId="0" fontId="15" fillId="0" borderId="27" xfId="1" applyFont="1" applyBorder="1" applyAlignment="1" applyProtection="1">
      <alignment horizontal="center" vertical="center" wrapText="1"/>
      <protection hidden="1"/>
    </xf>
    <xf numFmtId="0" fontId="15" fillId="0" borderId="6" xfId="1" applyFont="1" applyBorder="1" applyAlignment="1" applyProtection="1">
      <alignment horizontal="center" vertical="center" wrapText="1"/>
      <protection hidden="1"/>
    </xf>
    <xf numFmtId="0" fontId="15" fillId="0" borderId="8" xfId="1" applyFont="1" applyBorder="1" applyAlignment="1" applyProtection="1">
      <alignment horizontal="center" vertical="center" wrapText="1"/>
      <protection hidden="1"/>
    </xf>
    <xf numFmtId="0" fontId="15" fillId="2" borderId="15" xfId="1" applyFont="1" applyFill="1" applyBorder="1" applyAlignment="1" applyProtection="1">
      <alignment horizontal="right" vertical="center" shrinkToFit="1"/>
      <protection hidden="1"/>
    </xf>
    <xf numFmtId="0" fontId="15" fillId="2" borderId="11" xfId="1" applyFont="1" applyFill="1" applyBorder="1" applyAlignment="1" applyProtection="1">
      <alignment horizontal="right" vertical="center" shrinkToFit="1"/>
      <protection hidden="1"/>
    </xf>
    <xf numFmtId="0" fontId="15" fillId="2" borderId="12" xfId="1" applyFont="1" applyFill="1" applyBorder="1" applyAlignment="1" applyProtection="1">
      <alignment horizontal="right" vertical="center" shrinkToFit="1"/>
      <protection hidden="1"/>
    </xf>
    <xf numFmtId="0" fontId="15" fillId="2" borderId="9" xfId="1" applyFont="1" applyFill="1" applyBorder="1" applyAlignment="1" applyProtection="1">
      <alignment horizontal="right" vertical="center" shrinkToFit="1"/>
      <protection hidden="1"/>
    </xf>
    <xf numFmtId="0" fontId="16" fillId="0" borderId="15" xfId="1" applyNumberFormat="1" applyFont="1" applyFill="1" applyBorder="1" applyAlignment="1" applyProtection="1">
      <alignment horizontal="center" vertical="center" shrinkToFit="1"/>
      <protection hidden="1"/>
    </xf>
    <xf numFmtId="0" fontId="16" fillId="0" borderId="11" xfId="1" applyNumberFormat="1" applyFont="1" applyFill="1" applyBorder="1" applyAlignment="1" applyProtection="1">
      <alignment horizontal="center" vertical="center" shrinkToFit="1"/>
      <protection hidden="1"/>
    </xf>
    <xf numFmtId="0" fontId="16" fillId="0" borderId="12" xfId="1" applyNumberFormat="1" applyFont="1" applyFill="1" applyBorder="1" applyAlignment="1" applyProtection="1">
      <alignment horizontal="center" vertical="center" shrinkToFit="1"/>
      <protection hidden="1"/>
    </xf>
    <xf numFmtId="0" fontId="16" fillId="0" borderId="9" xfId="1" applyNumberFormat="1" applyFont="1" applyFill="1" applyBorder="1" applyAlignment="1" applyProtection="1">
      <alignment horizontal="center" vertical="center" shrinkToFit="1"/>
      <protection hidden="1"/>
    </xf>
    <xf numFmtId="0" fontId="12" fillId="0" borderId="18" xfId="1" applyFont="1" applyFill="1" applyBorder="1" applyAlignment="1" applyProtection="1">
      <alignment horizontal="center" vertical="center"/>
      <protection hidden="1"/>
    </xf>
    <xf numFmtId="0" fontId="12" fillId="0" borderId="16" xfId="1" applyFont="1" applyFill="1" applyBorder="1" applyAlignment="1" applyProtection="1">
      <alignment horizontal="center" vertical="center"/>
      <protection hidden="1"/>
    </xf>
    <xf numFmtId="0" fontId="12" fillId="0" borderId="31" xfId="1" applyFont="1" applyFill="1" applyBorder="1" applyAlignment="1" applyProtection="1">
      <alignment horizontal="center" vertical="center" shrinkToFit="1"/>
      <protection hidden="1"/>
    </xf>
    <xf numFmtId="0" fontId="12" fillId="0" borderId="18" xfId="1" applyFont="1" applyFill="1" applyBorder="1" applyAlignment="1" applyProtection="1">
      <alignment horizontal="center" vertical="center" shrinkToFit="1"/>
      <protection hidden="1"/>
    </xf>
    <xf numFmtId="0" fontId="12" fillId="0" borderId="17" xfId="1" applyFont="1" applyFill="1" applyBorder="1" applyAlignment="1" applyProtection="1">
      <alignment horizontal="center" vertical="center" shrinkToFit="1"/>
      <protection hidden="1"/>
    </xf>
    <xf numFmtId="0" fontId="12" fillId="0" borderId="32" xfId="1" applyFont="1" applyFill="1" applyBorder="1" applyAlignment="1" applyProtection="1">
      <alignment horizontal="center" vertical="center"/>
      <protection hidden="1"/>
    </xf>
    <xf numFmtId="0" fontId="12" fillId="0" borderId="31" xfId="1" applyFont="1" applyFill="1" applyBorder="1" applyAlignment="1" applyProtection="1">
      <alignment horizontal="center" vertical="center"/>
      <protection hidden="1"/>
    </xf>
    <xf numFmtId="0" fontId="4" fillId="0" borderId="13" xfId="1" applyFont="1" applyBorder="1" applyAlignment="1" applyProtection="1">
      <alignment horizontal="center" vertical="center"/>
      <protection hidden="1"/>
    </xf>
    <xf numFmtId="0" fontId="4" fillId="0" borderId="12" xfId="1" applyFont="1" applyBorder="1" applyAlignment="1" applyProtection="1">
      <alignment horizontal="center" vertical="center"/>
      <protection hidden="1"/>
    </xf>
    <xf numFmtId="0" fontId="4" fillId="0" borderId="0" xfId="1" applyFont="1" applyBorder="1" applyAlignment="1" applyProtection="1">
      <alignment horizontal="center" vertical="center"/>
      <protection hidden="1"/>
    </xf>
    <xf numFmtId="0" fontId="4" fillId="0" borderId="9" xfId="1" applyFont="1" applyBorder="1" applyAlignment="1" applyProtection="1">
      <alignment horizontal="center" vertical="center"/>
      <protection hidden="1"/>
    </xf>
    <xf numFmtId="0" fontId="4" fillId="0" borderId="1" xfId="1" applyFont="1" applyBorder="1" applyAlignment="1" applyProtection="1">
      <alignment horizontal="center" vertical="center"/>
      <protection hidden="1"/>
    </xf>
    <xf numFmtId="0" fontId="4" fillId="0" borderId="15" xfId="1" applyFont="1" applyBorder="1" applyAlignment="1" applyProtection="1">
      <alignment horizontal="center" vertical="center"/>
      <protection hidden="1"/>
    </xf>
    <xf numFmtId="0" fontId="4" fillId="0" borderId="11" xfId="1" applyFont="1" applyBorder="1" applyAlignment="1" applyProtection="1">
      <alignment horizontal="center" vertical="center"/>
      <protection hidden="1"/>
    </xf>
    <xf numFmtId="0" fontId="4" fillId="0" borderId="5" xfId="1" applyFont="1" applyBorder="1" applyAlignment="1" applyProtection="1">
      <alignment horizontal="center" vertical="center"/>
      <protection hidden="1"/>
    </xf>
    <xf numFmtId="0" fontId="14" fillId="0" borderId="31" xfId="1" applyFont="1" applyBorder="1" applyAlignment="1" applyProtection="1">
      <alignment horizontal="center" vertical="center"/>
      <protection locked="0" hidden="1"/>
    </xf>
    <xf numFmtId="0" fontId="15" fillId="2" borderId="5" xfId="1" applyFont="1" applyFill="1" applyBorder="1" applyAlignment="1" applyProtection="1">
      <alignment horizontal="right" vertical="center" shrinkToFit="1"/>
      <protection hidden="1"/>
    </xf>
    <xf numFmtId="0" fontId="15" fillId="2" borderId="2" xfId="1" applyFont="1" applyFill="1" applyBorder="1" applyAlignment="1" applyProtection="1">
      <alignment horizontal="right" vertical="center" shrinkToFit="1"/>
      <protection hidden="1"/>
    </xf>
    <xf numFmtId="0" fontId="15" fillId="2" borderId="1" xfId="1" applyFont="1" applyFill="1" applyBorder="1" applyAlignment="1" applyProtection="1">
      <alignment horizontal="right" vertical="center" shrinkToFit="1"/>
      <protection hidden="1"/>
    </xf>
    <xf numFmtId="0" fontId="8" fillId="0" borderId="5" xfId="1" applyNumberFormat="1" applyFont="1" applyFill="1" applyBorder="1" applyAlignment="1" applyProtection="1">
      <alignment horizontal="center" vertical="center"/>
      <protection hidden="1"/>
    </xf>
    <xf numFmtId="0" fontId="8" fillId="0" borderId="2" xfId="1" applyNumberFormat="1" applyFont="1" applyFill="1" applyBorder="1" applyAlignment="1" applyProtection="1">
      <alignment horizontal="center" vertical="center"/>
      <protection hidden="1"/>
    </xf>
    <xf numFmtId="0" fontId="8" fillId="0" borderId="1" xfId="1" applyNumberFormat="1" applyFont="1" applyFill="1" applyBorder="1" applyAlignment="1" applyProtection="1">
      <alignment horizontal="center" vertical="center"/>
      <protection hidden="1"/>
    </xf>
    <xf numFmtId="0" fontId="8" fillId="0" borderId="5" xfId="1" applyFont="1" applyFill="1" applyBorder="1" applyAlignment="1" applyProtection="1">
      <alignment horizontal="center" vertical="center"/>
      <protection hidden="1"/>
    </xf>
    <xf numFmtId="0" fontId="8" fillId="0" borderId="2" xfId="1" applyFont="1" applyFill="1" applyBorder="1" applyAlignment="1" applyProtection="1">
      <alignment horizontal="center" vertical="center"/>
      <protection hidden="1"/>
    </xf>
    <xf numFmtId="0" fontId="16" fillId="0" borderId="15" xfId="1" applyFont="1" applyFill="1" applyBorder="1" applyAlignment="1" applyProtection="1">
      <alignment horizontal="center" vertical="center" shrinkToFit="1"/>
      <protection hidden="1"/>
    </xf>
    <xf numFmtId="0" fontId="16" fillId="0" borderId="11" xfId="1" applyFont="1" applyFill="1" applyBorder="1" applyAlignment="1" applyProtection="1">
      <alignment horizontal="center" vertical="center" shrinkToFit="1"/>
      <protection hidden="1"/>
    </xf>
    <xf numFmtId="0" fontId="16" fillId="0" borderId="13" xfId="1" applyFont="1" applyFill="1" applyBorder="1" applyAlignment="1" applyProtection="1">
      <alignment horizontal="center" vertical="center" shrinkToFit="1"/>
      <protection hidden="1"/>
    </xf>
    <xf numFmtId="0" fontId="16" fillId="0" borderId="0" xfId="1" applyFont="1" applyFill="1" applyBorder="1" applyAlignment="1" applyProtection="1">
      <alignment horizontal="center" vertical="center" shrinkToFit="1"/>
      <protection hidden="1"/>
    </xf>
    <xf numFmtId="0" fontId="4" fillId="0" borderId="32" xfId="1" applyFont="1" applyFill="1" applyBorder="1" applyAlignment="1" applyProtection="1">
      <alignment horizontal="center" vertical="center"/>
      <protection hidden="1"/>
    </xf>
    <xf numFmtId="0" fontId="4" fillId="0" borderId="31" xfId="1" applyFont="1" applyFill="1" applyBorder="1" applyAlignment="1" applyProtection="1">
      <alignment horizontal="center" vertical="center"/>
      <protection hidden="1"/>
    </xf>
    <xf numFmtId="0" fontId="4" fillId="0" borderId="31" xfId="1" applyFont="1" applyBorder="1" applyAlignment="1" applyProtection="1">
      <alignment horizontal="center" vertical="center"/>
      <protection hidden="1"/>
    </xf>
    <xf numFmtId="0" fontId="16" fillId="0" borderId="12" xfId="1" applyFont="1" applyFill="1" applyBorder="1" applyAlignment="1" applyProtection="1">
      <alignment horizontal="center" vertical="center" shrinkToFit="1"/>
      <protection hidden="1"/>
    </xf>
    <xf numFmtId="0" fontId="16" fillId="0" borderId="9" xfId="1" applyFont="1" applyFill="1" applyBorder="1" applyAlignment="1" applyProtection="1">
      <alignment horizontal="center" vertical="center" shrinkToFit="1"/>
      <protection hidden="1"/>
    </xf>
    <xf numFmtId="0" fontId="8" fillId="0" borderId="1" xfId="1" applyFont="1" applyFill="1" applyBorder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12" fillId="0" borderId="0" xfId="1" applyFont="1" applyFill="1" applyBorder="1" applyAlignment="1" applyProtection="1">
      <alignment horizontal="left"/>
      <protection hidden="1"/>
    </xf>
    <xf numFmtId="0" fontId="1" fillId="2" borderId="0" xfId="1" applyFill="1" applyAlignment="1" applyProtection="1">
      <alignment horizontal="center"/>
      <protection locked="0" hidden="1"/>
    </xf>
    <xf numFmtId="0" fontId="27" fillId="0" borderId="0" xfId="1" applyFont="1" applyFill="1" applyBorder="1" applyAlignment="1" applyProtection="1">
      <alignment horizontal="center" vertical="center"/>
      <protection hidden="1"/>
    </xf>
    <xf numFmtId="0" fontId="1" fillId="0" borderId="27" xfId="1" applyFont="1" applyBorder="1" applyAlignment="1" applyProtection="1">
      <alignment horizontal="center" vertical="center" wrapText="1"/>
      <protection locked="0" hidden="1"/>
    </xf>
    <xf numFmtId="0" fontId="1" fillId="0" borderId="6" xfId="1" applyFont="1" applyBorder="1" applyAlignment="1" applyProtection="1">
      <alignment horizontal="center" vertical="center" wrapText="1"/>
      <protection locked="0" hidden="1"/>
    </xf>
    <xf numFmtId="0" fontId="1" fillId="0" borderId="8" xfId="1" applyFont="1" applyBorder="1" applyAlignment="1" applyProtection="1">
      <alignment horizontal="center" vertical="center" wrapText="1"/>
      <protection locked="0" hidden="1"/>
    </xf>
    <xf numFmtId="0" fontId="16" fillId="0" borderId="15" xfId="1" applyFont="1" applyFill="1" applyBorder="1" applyAlignment="1" applyProtection="1">
      <alignment horizontal="center" vertical="center" shrinkToFit="1"/>
      <protection locked="0" hidden="1"/>
    </xf>
    <xf numFmtId="0" fontId="16" fillId="0" borderId="11" xfId="1" applyFont="1" applyFill="1" applyBorder="1" applyAlignment="1" applyProtection="1">
      <alignment horizontal="center" vertical="center" shrinkToFit="1"/>
      <protection locked="0" hidden="1"/>
    </xf>
    <xf numFmtId="0" fontId="16" fillId="0" borderId="12" xfId="1" applyFont="1" applyFill="1" applyBorder="1" applyAlignment="1" applyProtection="1">
      <alignment horizontal="center" vertical="center" shrinkToFit="1"/>
      <protection locked="0" hidden="1"/>
    </xf>
    <xf numFmtId="0" fontId="16" fillId="0" borderId="9" xfId="1" applyFont="1" applyFill="1" applyBorder="1" applyAlignment="1" applyProtection="1">
      <alignment horizontal="center" vertical="center" shrinkToFit="1"/>
      <protection locked="0" hidden="1"/>
    </xf>
    <xf numFmtId="0" fontId="4" fillId="0" borderId="15" xfId="1" applyFont="1" applyBorder="1" applyAlignment="1" applyProtection="1">
      <alignment horizontal="center" vertical="center"/>
      <protection locked="0" hidden="1"/>
    </xf>
    <xf numFmtId="0" fontId="4" fillId="0" borderId="12" xfId="1" applyFont="1" applyBorder="1" applyAlignment="1" applyProtection="1">
      <alignment horizontal="center" vertical="center"/>
      <protection locked="0" hidden="1"/>
    </xf>
    <xf numFmtId="0" fontId="4" fillId="0" borderId="11" xfId="1" applyFont="1" applyBorder="1" applyAlignment="1" applyProtection="1">
      <alignment horizontal="center" vertical="center"/>
      <protection locked="0" hidden="1"/>
    </xf>
    <xf numFmtId="0" fontId="4" fillId="0" borderId="9" xfId="1" applyFont="1" applyBorder="1" applyAlignment="1" applyProtection="1">
      <alignment horizontal="center" vertical="center"/>
      <protection locked="0" hidden="1"/>
    </xf>
    <xf numFmtId="0" fontId="4" fillId="0" borderId="5" xfId="1" applyFont="1" applyBorder="1" applyAlignment="1" applyProtection="1">
      <alignment horizontal="center" vertical="center"/>
      <protection locked="0" hidden="1"/>
    </xf>
    <xf numFmtId="0" fontId="4" fillId="0" borderId="1" xfId="1" applyFont="1" applyBorder="1" applyAlignment="1" applyProtection="1">
      <alignment horizontal="center" vertical="center"/>
      <protection locked="0" hidden="1"/>
    </xf>
    <xf numFmtId="0" fontId="8" fillId="0" borderId="5" xfId="1" applyFont="1" applyFill="1" applyBorder="1" applyAlignment="1" applyProtection="1">
      <alignment horizontal="center" vertical="center"/>
      <protection locked="0" hidden="1"/>
    </xf>
    <xf numFmtId="0" fontId="8" fillId="0" borderId="2" xfId="1" applyFont="1" applyFill="1" applyBorder="1" applyAlignment="1" applyProtection="1">
      <alignment horizontal="center" vertical="center"/>
      <protection locked="0" hidden="1"/>
    </xf>
    <xf numFmtId="0" fontId="8" fillId="0" borderId="1" xfId="1" applyFont="1" applyFill="1" applyBorder="1" applyAlignment="1" applyProtection="1">
      <alignment horizontal="center" vertical="center"/>
      <protection locked="0" hidden="1"/>
    </xf>
    <xf numFmtId="0" fontId="15" fillId="2" borderId="5" xfId="1" applyFont="1" applyFill="1" applyBorder="1" applyAlignment="1" applyProtection="1">
      <alignment horizontal="right" vertical="center" shrinkToFit="1"/>
      <protection locked="0" hidden="1"/>
    </xf>
    <xf numFmtId="0" fontId="15" fillId="2" borderId="2" xfId="1" applyFont="1" applyFill="1" applyBorder="1" applyAlignment="1" applyProtection="1">
      <alignment horizontal="right" vertical="center" shrinkToFit="1"/>
      <protection locked="0" hidden="1"/>
    </xf>
    <xf numFmtId="0" fontId="4" fillId="0" borderId="32" xfId="1" applyFont="1" applyFill="1" applyBorder="1" applyAlignment="1" applyProtection="1">
      <alignment horizontal="center" vertical="center"/>
      <protection locked="0" hidden="1"/>
    </xf>
    <xf numFmtId="0" fontId="4" fillId="0" borderId="31" xfId="1" applyFont="1" applyFill="1" applyBorder="1" applyAlignment="1" applyProtection="1">
      <alignment horizontal="center" vertical="center"/>
      <protection locked="0" hidden="1"/>
    </xf>
    <xf numFmtId="0" fontId="4" fillId="0" borderId="31" xfId="1" applyFont="1" applyBorder="1" applyAlignment="1" applyProtection="1">
      <alignment horizontal="center" vertical="center"/>
      <protection locked="0" hidden="1"/>
    </xf>
    <xf numFmtId="0" fontId="4" fillId="0" borderId="13" xfId="1" applyFont="1" applyBorder="1" applyAlignment="1" applyProtection="1">
      <alignment horizontal="center" vertical="center"/>
      <protection locked="0" hidden="1"/>
    </xf>
    <xf numFmtId="0" fontId="4" fillId="0" borderId="0" xfId="1" applyFont="1" applyBorder="1" applyAlignment="1" applyProtection="1">
      <alignment horizontal="center" vertical="center"/>
      <protection locked="0" hidden="1"/>
    </xf>
    <xf numFmtId="0" fontId="4" fillId="0" borderId="2" xfId="1" applyFont="1" applyBorder="1" applyAlignment="1" applyProtection="1">
      <alignment horizontal="center" vertical="center"/>
      <protection locked="0" hidden="1"/>
    </xf>
    <xf numFmtId="0" fontId="15" fillId="2" borderId="15" xfId="1" applyFont="1" applyFill="1" applyBorder="1" applyAlignment="1" applyProtection="1">
      <alignment horizontal="right" vertical="center" shrinkToFit="1"/>
      <protection locked="0" hidden="1"/>
    </xf>
    <xf numFmtId="0" fontId="15" fillId="2" borderId="11" xfId="1" applyFont="1" applyFill="1" applyBorder="1" applyAlignment="1" applyProtection="1">
      <alignment horizontal="right" vertical="center" shrinkToFit="1"/>
      <protection locked="0" hidden="1"/>
    </xf>
    <xf numFmtId="0" fontId="15" fillId="2" borderId="13" xfId="1" applyFont="1" applyFill="1" applyBorder="1" applyAlignment="1" applyProtection="1">
      <alignment horizontal="right" vertical="center" shrinkToFit="1"/>
      <protection locked="0" hidden="1"/>
    </xf>
    <xf numFmtId="0" fontId="15" fillId="2" borderId="0" xfId="1" applyFont="1" applyFill="1" applyBorder="1" applyAlignment="1" applyProtection="1">
      <alignment horizontal="right" vertical="center" shrinkToFit="1"/>
      <protection locked="0" hidden="1"/>
    </xf>
    <xf numFmtId="0" fontId="18" fillId="0" borderId="0" xfId="1" applyFont="1" applyAlignment="1" applyProtection="1">
      <alignment horizontal="center" vertical="center"/>
      <protection hidden="1"/>
    </xf>
    <xf numFmtId="0" fontId="18" fillId="0" borderId="9" xfId="1" applyFont="1" applyBorder="1" applyAlignment="1" applyProtection="1">
      <alignment horizontal="center" vertical="center"/>
      <protection hidden="1"/>
    </xf>
    <xf numFmtId="0" fontId="14" fillId="0" borderId="15" xfId="1" applyFont="1" applyBorder="1" applyAlignment="1" applyProtection="1">
      <alignment horizontal="center" vertical="center"/>
      <protection locked="0" hidden="1"/>
    </xf>
    <xf numFmtId="0" fontId="14" fillId="0" borderId="13" xfId="1" applyFont="1" applyBorder="1" applyAlignment="1" applyProtection="1">
      <alignment horizontal="center" vertical="center"/>
      <protection locked="0" hidden="1"/>
    </xf>
    <xf numFmtId="0" fontId="14" fillId="0" borderId="12" xfId="1" applyFont="1" applyBorder="1" applyAlignment="1" applyProtection="1">
      <alignment horizontal="center" vertical="center"/>
      <protection locked="0" hidden="1"/>
    </xf>
    <xf numFmtId="0" fontId="14" fillId="0" borderId="11" xfId="1" applyFont="1" applyBorder="1" applyAlignment="1" applyProtection="1">
      <alignment horizontal="center" vertical="center"/>
      <protection locked="0" hidden="1"/>
    </xf>
    <xf numFmtId="0" fontId="14" fillId="0" borderId="0" xfId="1" applyFont="1" applyBorder="1" applyAlignment="1" applyProtection="1">
      <alignment horizontal="center" vertical="center"/>
      <protection locked="0" hidden="1"/>
    </xf>
    <xf numFmtId="0" fontId="14" fillId="0" borderId="9" xfId="1" applyFont="1" applyBorder="1" applyAlignment="1" applyProtection="1">
      <alignment horizontal="center" vertical="center"/>
      <protection locked="0" hidden="1"/>
    </xf>
    <xf numFmtId="0" fontId="14" fillId="0" borderId="5" xfId="1" applyFont="1" applyBorder="1" applyAlignment="1" applyProtection="1">
      <alignment horizontal="center" vertical="center"/>
      <protection locked="0" hidden="1"/>
    </xf>
    <xf numFmtId="0" fontId="14" fillId="0" borderId="2" xfId="1" applyFont="1" applyBorder="1" applyAlignment="1" applyProtection="1">
      <alignment horizontal="center" vertical="center"/>
      <protection locked="0" hidden="1"/>
    </xf>
    <xf numFmtId="0" fontId="14" fillId="0" borderId="1" xfId="1" applyFont="1" applyBorder="1" applyAlignment="1" applyProtection="1">
      <alignment horizontal="center" vertical="center"/>
      <protection locked="0" hidden="1"/>
    </xf>
    <xf numFmtId="0" fontId="3" fillId="0" borderId="0" xfId="1" applyFont="1" applyAlignment="1" applyProtection="1">
      <alignment horizontal="center"/>
      <protection locked="0" hidden="1"/>
    </xf>
    <xf numFmtId="182" fontId="3" fillId="0" borderId="0" xfId="1" applyNumberFormat="1" applyFont="1" applyAlignment="1" applyProtection="1">
      <alignment horizontal="center"/>
      <protection hidden="1"/>
    </xf>
    <xf numFmtId="176" fontId="8" fillId="0" borderId="0" xfId="1" applyNumberFormat="1" applyFont="1" applyAlignment="1" applyProtection="1">
      <alignment horizontal="center"/>
      <protection hidden="1"/>
    </xf>
    <xf numFmtId="0" fontId="3" fillId="0" borderId="0" xfId="1" applyFont="1" applyAlignment="1" applyProtection="1">
      <alignment horizontal="center" vertical="center"/>
      <protection locked="0" hidden="1"/>
    </xf>
    <xf numFmtId="176" fontId="3" fillId="0" borderId="0" xfId="1" applyNumberFormat="1" applyFont="1" applyAlignment="1" applyProtection="1">
      <alignment horizontal="center"/>
      <protection hidden="1"/>
    </xf>
    <xf numFmtId="176" fontId="3" fillId="0" borderId="0" xfId="1" applyNumberFormat="1" applyFont="1" applyAlignment="1" applyProtection="1">
      <alignment horizontal="left"/>
      <protection locked="0" hidden="1"/>
    </xf>
    <xf numFmtId="0" fontId="15" fillId="0" borderId="0" xfId="1" applyFont="1" applyBorder="1" applyAlignment="1" applyProtection="1">
      <alignment horizontal="center" vertical="center"/>
      <protection hidden="1"/>
    </xf>
    <xf numFmtId="0" fontId="12" fillId="0" borderId="13" xfId="1" applyFont="1" applyBorder="1" applyAlignment="1" applyProtection="1">
      <alignment horizontal="center" vertical="top"/>
      <protection locked="0" hidden="1"/>
    </xf>
    <xf numFmtId="0" fontId="31" fillId="0" borderId="0" xfId="1" applyFont="1" applyBorder="1" applyAlignment="1" applyProtection="1">
      <alignment horizontal="center" vertical="center"/>
      <protection locked="0" hidden="1"/>
    </xf>
    <xf numFmtId="0" fontId="31" fillId="0" borderId="9" xfId="1" applyFont="1" applyBorder="1" applyAlignment="1" applyProtection="1">
      <alignment horizontal="center" vertical="center"/>
      <protection locked="0" hidden="1"/>
    </xf>
    <xf numFmtId="176" fontId="6" fillId="0" borderId="15" xfId="1" applyNumberFormat="1" applyFont="1" applyBorder="1" applyAlignment="1" applyProtection="1">
      <alignment horizontal="center" vertical="center"/>
      <protection hidden="1"/>
    </xf>
    <xf numFmtId="176" fontId="6" fillId="0" borderId="13" xfId="1" applyNumberFormat="1" applyFont="1" applyBorder="1" applyAlignment="1" applyProtection="1">
      <alignment horizontal="center" vertical="center"/>
      <protection hidden="1"/>
    </xf>
    <xf numFmtId="176" fontId="6" fillId="0" borderId="12" xfId="1" applyNumberFormat="1" applyFont="1" applyBorder="1" applyAlignment="1" applyProtection="1">
      <alignment horizontal="center" vertical="center"/>
      <protection hidden="1"/>
    </xf>
    <xf numFmtId="176" fontId="6" fillId="0" borderId="5" xfId="1" applyNumberFormat="1" applyFont="1" applyBorder="1" applyAlignment="1" applyProtection="1">
      <alignment horizontal="center" vertical="center"/>
      <protection hidden="1"/>
    </xf>
    <xf numFmtId="176" fontId="6" fillId="0" borderId="2" xfId="1" applyNumberFormat="1" applyFont="1" applyBorder="1" applyAlignment="1" applyProtection="1">
      <alignment horizontal="center" vertical="center"/>
      <protection hidden="1"/>
    </xf>
    <xf numFmtId="176" fontId="6" fillId="0" borderId="1" xfId="1" applyNumberFormat="1" applyFont="1" applyBorder="1" applyAlignment="1" applyProtection="1">
      <alignment horizontal="center" vertical="center"/>
      <protection hidden="1"/>
    </xf>
    <xf numFmtId="0" fontId="6" fillId="0" borderId="15" xfId="1" applyFont="1" applyBorder="1" applyAlignment="1" applyProtection="1">
      <alignment horizontal="center" vertical="center"/>
      <protection hidden="1"/>
    </xf>
    <xf numFmtId="0" fontId="6" fillId="0" borderId="13" xfId="1" applyFont="1" applyBorder="1" applyAlignment="1" applyProtection="1">
      <alignment horizontal="center" vertical="center"/>
      <protection hidden="1"/>
    </xf>
    <xf numFmtId="0" fontId="6" fillId="0" borderId="12" xfId="1" applyFont="1" applyBorder="1" applyAlignment="1" applyProtection="1">
      <alignment horizontal="center" vertical="center"/>
      <protection hidden="1"/>
    </xf>
    <xf numFmtId="0" fontId="6" fillId="0" borderId="5" xfId="1" applyFont="1" applyBorder="1" applyAlignment="1" applyProtection="1">
      <alignment horizontal="center" vertical="center"/>
      <protection hidden="1"/>
    </xf>
    <xf numFmtId="0" fontId="6" fillId="0" borderId="2" xfId="1" applyFont="1" applyBorder="1" applyAlignment="1" applyProtection="1">
      <alignment horizontal="center" vertical="center"/>
      <protection hidden="1"/>
    </xf>
    <xf numFmtId="0" fontId="6" fillId="0" borderId="1" xfId="1" applyFont="1" applyBorder="1" applyAlignment="1" applyProtection="1">
      <alignment horizontal="center" vertical="center"/>
      <protection hidden="1"/>
    </xf>
    <xf numFmtId="0" fontId="12" fillId="0" borderId="0" xfId="1" applyFont="1" applyBorder="1" applyAlignment="1" applyProtection="1">
      <alignment horizontal="center" vertical="top"/>
      <protection locked="0" hidden="1"/>
    </xf>
    <xf numFmtId="0" fontId="8" fillId="0" borderId="11" xfId="1" applyFont="1" applyBorder="1" applyAlignment="1" applyProtection="1">
      <alignment horizontal="center" vertical="distributed" textRotation="255" wrapText="1"/>
      <protection hidden="1"/>
    </xf>
    <xf numFmtId="0" fontId="8" fillId="0" borderId="9" xfId="1" applyFont="1" applyBorder="1" applyAlignment="1" applyProtection="1">
      <alignment horizontal="center" vertical="distributed" textRotation="255"/>
      <protection hidden="1"/>
    </xf>
    <xf numFmtId="0" fontId="8" fillId="0" borderId="11" xfId="1" applyFont="1" applyBorder="1" applyAlignment="1" applyProtection="1">
      <alignment horizontal="center" vertical="distributed" textRotation="255"/>
      <protection hidden="1"/>
    </xf>
    <xf numFmtId="0" fontId="15" fillId="0" borderId="11" xfId="1" applyFont="1" applyBorder="1" applyAlignment="1" applyProtection="1">
      <alignment horizontal="center" vertical="center"/>
      <protection hidden="1"/>
    </xf>
    <xf numFmtId="0" fontId="15" fillId="0" borderId="9" xfId="1" applyFont="1" applyBorder="1" applyAlignment="1" applyProtection="1">
      <alignment horizontal="center" vertical="center"/>
      <protection hidden="1"/>
    </xf>
    <xf numFmtId="0" fontId="28" fillId="0" borderId="0" xfId="1" applyFont="1" applyBorder="1" applyAlignment="1" applyProtection="1">
      <alignment horizontal="center" vertical="center" shrinkToFit="1"/>
      <protection locked="0" hidden="1"/>
    </xf>
    <xf numFmtId="0" fontId="6" fillId="0" borderId="15" xfId="1" applyNumberFormat="1" applyFont="1" applyBorder="1" applyAlignment="1" applyProtection="1">
      <alignment horizontal="center" vertical="center"/>
      <protection hidden="1"/>
    </xf>
    <xf numFmtId="0" fontId="6" fillId="0" borderId="13" xfId="1" applyNumberFormat="1" applyFont="1" applyBorder="1" applyAlignment="1" applyProtection="1">
      <alignment horizontal="center" vertical="center"/>
      <protection hidden="1"/>
    </xf>
    <xf numFmtId="0" fontId="6" fillId="0" borderId="12" xfId="1" applyNumberFormat="1" applyFont="1" applyBorder="1" applyAlignment="1" applyProtection="1">
      <alignment horizontal="center" vertical="center"/>
      <protection hidden="1"/>
    </xf>
    <xf numFmtId="0" fontId="6" fillId="0" borderId="5" xfId="1" applyNumberFormat="1" applyFont="1" applyBorder="1" applyAlignment="1" applyProtection="1">
      <alignment horizontal="center" vertical="center"/>
      <protection hidden="1"/>
    </xf>
    <xf numFmtId="0" fontId="6" fillId="0" borderId="2" xfId="1" applyNumberFormat="1" applyFont="1" applyBorder="1" applyAlignment="1" applyProtection="1">
      <alignment horizontal="center" vertical="center"/>
      <protection hidden="1"/>
    </xf>
    <xf numFmtId="0" fontId="6" fillId="0" borderId="1" xfId="1" applyNumberFormat="1" applyFont="1" applyBorder="1" applyAlignment="1" applyProtection="1">
      <alignment horizontal="center" vertical="center"/>
      <protection hidden="1"/>
    </xf>
  </cellXfs>
  <cellStyles count="2">
    <cellStyle name="標準" xfId="0" builtinId="0"/>
    <cellStyle name="標準 2" xfId="1"/>
  </cellStyles>
  <dxfs count="156"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right style="thin">
          <color rgb="FFFF0000"/>
        </right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right style="thin">
          <color rgb="FFFF0000"/>
        </right>
        <vertical/>
        <horizontal/>
      </border>
    </dxf>
    <dxf>
      <border>
        <left style="thin">
          <color rgb="FFFF0000"/>
        </left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right style="thin">
          <color rgb="FFFF0000"/>
        </right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</border>
    </dxf>
    <dxf>
      <border>
        <bottom style="thin">
          <color rgb="FFFF0000"/>
        </bottom>
        <vertical/>
        <horizontal/>
      </border>
    </dxf>
    <dxf>
      <border>
        <right style="thin">
          <color rgb="FFFF0000"/>
        </right>
        <vertical/>
        <horizontal/>
      </border>
    </dxf>
    <dxf>
      <border>
        <left style="thin">
          <color rgb="FFFF0000"/>
        </left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right style="thin">
          <color rgb="FFFF0000"/>
        </right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right style="thin">
          <color rgb="FFFF0000"/>
        </right>
        <vertical/>
        <horizontal/>
      </border>
    </dxf>
    <dxf>
      <border>
        <left style="thin">
          <color rgb="FFFF0000"/>
        </left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right style="thin">
          <color rgb="FFFF0000"/>
        </right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indexed="10"/>
        </right>
      </border>
    </dxf>
    <dxf>
      <border>
        <left style="thin">
          <color indexed="10"/>
        </left>
        <top style="thin">
          <color indexed="10"/>
        </top>
      </border>
    </dxf>
    <dxf>
      <border>
        <top style="thin">
          <color indexed="10"/>
        </top>
      </border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theme="7" tint="0.79998168889431442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theme="7" tint="0.79998168889431442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6</xdr:row>
      <xdr:rowOff>76200</xdr:rowOff>
    </xdr:from>
    <xdr:to>
      <xdr:col>18</xdr:col>
      <xdr:colOff>9525</xdr:colOff>
      <xdr:row>7</xdr:row>
      <xdr:rowOff>190500</xdr:rowOff>
    </xdr:to>
    <xdr:grpSp>
      <xdr:nvGrpSpPr>
        <xdr:cNvPr id="2" name="グループ化 1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5207454" y="1777093"/>
          <a:ext cx="625928" cy="372836"/>
          <a:chOff x="5076825" y="1771650"/>
          <a:chExt cx="628650" cy="371475"/>
        </a:xfrm>
      </xdr:grpSpPr>
      <xdr:sp macro="" textlink="">
        <xdr:nvSpPr>
          <xdr:cNvPr id="3" name="AutoShape 208">
            <a:extLst>
              <a:ext uri="{FF2B5EF4-FFF2-40B4-BE49-F238E27FC236}">
                <a16:creationId xmlns="" xmlns:a16="http://schemas.microsoft.com/office/drawing/2014/main" id="{00000000-0008-0000-0100-0000A01A01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4" name="直線コネクタ 3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5" name="直線コネクタ 4">
            <a:extLst>
              <a:ext uri="{FF2B5EF4-FFF2-40B4-BE49-F238E27FC236}">
                <a16:creationId xmlns="" xmlns:a16="http://schemas.microsoft.com/office/drawing/2014/main" id="{00000000-0008-0000-0100-000024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9</xdr:row>
      <xdr:rowOff>76200</xdr:rowOff>
    </xdr:from>
    <xdr:to>
      <xdr:col>18</xdr:col>
      <xdr:colOff>0</xdr:colOff>
      <xdr:row>10</xdr:row>
      <xdr:rowOff>190500</xdr:rowOff>
    </xdr:to>
    <xdr:grpSp>
      <xdr:nvGrpSpPr>
        <xdr:cNvPr id="6" name="グループ化 5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GrpSpPr/>
      </xdr:nvGrpSpPr>
      <xdr:grpSpPr>
        <a:xfrm>
          <a:off x="5197929" y="2552700"/>
          <a:ext cx="625928" cy="372836"/>
          <a:chOff x="5076825" y="1771650"/>
          <a:chExt cx="628650" cy="371475"/>
        </a:xfrm>
      </xdr:grpSpPr>
      <xdr:sp macro="" textlink="">
        <xdr:nvSpPr>
          <xdr:cNvPr id="7" name="AutoShape 208">
            <a:extLst>
              <a:ext uri="{FF2B5EF4-FFF2-40B4-BE49-F238E27FC236}">
                <a16:creationId xmlns=""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8" name="直線コネクタ 7">
            <a:extLst>
              <a:ext uri="{FF2B5EF4-FFF2-40B4-BE49-F238E27FC236}">
                <a16:creationId xmlns="" xmlns:a16="http://schemas.microsoft.com/office/drawing/2014/main" id="{00000000-0008-0000-0100-00002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9" name="直線コネクタ 8">
            <a:extLst>
              <a:ext uri="{FF2B5EF4-FFF2-40B4-BE49-F238E27FC236}">
                <a16:creationId xmlns="" xmlns:a16="http://schemas.microsoft.com/office/drawing/2014/main" id="{00000000-0008-0000-0100-00002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19</xdr:row>
      <xdr:rowOff>76200</xdr:rowOff>
    </xdr:from>
    <xdr:to>
      <xdr:col>18</xdr:col>
      <xdr:colOff>0</xdr:colOff>
      <xdr:row>20</xdr:row>
      <xdr:rowOff>190500</xdr:rowOff>
    </xdr:to>
    <xdr:grpSp>
      <xdr:nvGrpSpPr>
        <xdr:cNvPr id="10" name="グループ化 9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GrpSpPr/>
      </xdr:nvGrpSpPr>
      <xdr:grpSpPr>
        <a:xfrm>
          <a:off x="5197929" y="5301343"/>
          <a:ext cx="625928" cy="372836"/>
          <a:chOff x="5076825" y="1771650"/>
          <a:chExt cx="628650" cy="371475"/>
        </a:xfrm>
      </xdr:grpSpPr>
      <xdr:sp macro="" textlink="">
        <xdr:nvSpPr>
          <xdr:cNvPr id="11" name="AutoShape 208">
            <a:extLst>
              <a:ext uri="{FF2B5EF4-FFF2-40B4-BE49-F238E27FC236}">
                <a16:creationId xmlns="" xmlns:a16="http://schemas.microsoft.com/office/drawing/2014/main" id="{00000000-0008-0000-01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2" name="直線コネクタ 11">
            <a:extLst>
              <a:ext uri="{FF2B5EF4-FFF2-40B4-BE49-F238E27FC236}">
                <a16:creationId xmlns="" xmlns:a16="http://schemas.microsoft.com/office/drawing/2014/main" id="{00000000-0008-0000-0100-000036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3" name="直線コネクタ 12">
            <a:extLst>
              <a:ext uri="{FF2B5EF4-FFF2-40B4-BE49-F238E27FC236}">
                <a16:creationId xmlns="" xmlns:a16="http://schemas.microsoft.com/office/drawing/2014/main" id="{00000000-0008-0000-0100-000037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22</xdr:row>
      <xdr:rowOff>76200</xdr:rowOff>
    </xdr:from>
    <xdr:to>
      <xdr:col>18</xdr:col>
      <xdr:colOff>0</xdr:colOff>
      <xdr:row>23</xdr:row>
      <xdr:rowOff>190500</xdr:rowOff>
    </xdr:to>
    <xdr:grpSp>
      <xdr:nvGrpSpPr>
        <xdr:cNvPr id="14" name="グループ化 13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GrpSpPr/>
      </xdr:nvGrpSpPr>
      <xdr:grpSpPr>
        <a:xfrm>
          <a:off x="5197929" y="6076950"/>
          <a:ext cx="625928" cy="372836"/>
          <a:chOff x="5076825" y="1771650"/>
          <a:chExt cx="628650" cy="371475"/>
        </a:xfrm>
      </xdr:grpSpPr>
      <xdr:sp macro="" textlink="">
        <xdr:nvSpPr>
          <xdr:cNvPr id="15" name="AutoShape 208">
            <a:extLst>
              <a:ext uri="{FF2B5EF4-FFF2-40B4-BE49-F238E27FC236}">
                <a16:creationId xmlns="" xmlns:a16="http://schemas.microsoft.com/office/drawing/2014/main" id="{00000000-0008-0000-01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6" name="直線コネクタ 15">
            <a:extLst>
              <a:ext uri="{FF2B5EF4-FFF2-40B4-BE49-F238E27FC236}">
                <a16:creationId xmlns="" xmlns:a16="http://schemas.microsoft.com/office/drawing/2014/main" id="{00000000-0008-0000-0100-00003A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7" name="直線コネクタ 16">
            <a:extLst>
              <a:ext uri="{FF2B5EF4-FFF2-40B4-BE49-F238E27FC236}">
                <a16:creationId xmlns="" xmlns:a16="http://schemas.microsoft.com/office/drawing/2014/main" id="{00000000-0008-0000-0100-00003B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25</xdr:row>
      <xdr:rowOff>76200</xdr:rowOff>
    </xdr:from>
    <xdr:to>
      <xdr:col>18</xdr:col>
      <xdr:colOff>0</xdr:colOff>
      <xdr:row>26</xdr:row>
      <xdr:rowOff>190500</xdr:rowOff>
    </xdr:to>
    <xdr:grpSp>
      <xdr:nvGrpSpPr>
        <xdr:cNvPr id="18" name="グループ化 17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GrpSpPr/>
      </xdr:nvGrpSpPr>
      <xdr:grpSpPr>
        <a:xfrm>
          <a:off x="5197929" y="6852557"/>
          <a:ext cx="625928" cy="372836"/>
          <a:chOff x="5076825" y="1771650"/>
          <a:chExt cx="628650" cy="371475"/>
        </a:xfrm>
      </xdr:grpSpPr>
      <xdr:sp macro="" textlink="">
        <xdr:nvSpPr>
          <xdr:cNvPr id="19" name="AutoShape 208">
            <a:extLst>
              <a:ext uri="{FF2B5EF4-FFF2-40B4-BE49-F238E27FC236}">
                <a16:creationId xmlns="" xmlns:a16="http://schemas.microsoft.com/office/drawing/2014/main" id="{00000000-0008-0000-0100-000041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20" name="直線コネクタ 19">
            <a:extLst>
              <a:ext uri="{FF2B5EF4-FFF2-40B4-BE49-F238E27FC236}">
                <a16:creationId xmlns="" xmlns:a16="http://schemas.microsoft.com/office/drawing/2014/main" id="{00000000-0008-0000-0100-000042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1" name="直線コネクタ 20">
            <a:extLst>
              <a:ext uri="{FF2B5EF4-FFF2-40B4-BE49-F238E27FC236}">
                <a16:creationId xmlns="" xmlns:a16="http://schemas.microsoft.com/office/drawing/2014/main" id="{00000000-0008-0000-0100-000043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29</xdr:row>
      <xdr:rowOff>76200</xdr:rowOff>
    </xdr:from>
    <xdr:to>
      <xdr:col>18</xdr:col>
      <xdr:colOff>0</xdr:colOff>
      <xdr:row>30</xdr:row>
      <xdr:rowOff>190500</xdr:rowOff>
    </xdr:to>
    <xdr:grpSp>
      <xdr:nvGrpSpPr>
        <xdr:cNvPr id="22" name="グループ化 21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GrpSpPr/>
      </xdr:nvGrpSpPr>
      <xdr:grpSpPr>
        <a:xfrm>
          <a:off x="5197929" y="7927521"/>
          <a:ext cx="625928" cy="372836"/>
          <a:chOff x="5076825" y="1771650"/>
          <a:chExt cx="628650" cy="371475"/>
        </a:xfrm>
      </xdr:grpSpPr>
      <xdr:sp macro="" textlink="">
        <xdr:nvSpPr>
          <xdr:cNvPr id="23" name="AutoShape 208">
            <a:extLst>
              <a:ext uri="{FF2B5EF4-FFF2-40B4-BE49-F238E27FC236}">
                <a16:creationId xmlns="" xmlns:a16="http://schemas.microsoft.com/office/drawing/2014/main" id="{00000000-0008-0000-0100-000045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24" name="直線コネクタ 23">
            <a:extLst>
              <a:ext uri="{FF2B5EF4-FFF2-40B4-BE49-F238E27FC236}">
                <a16:creationId xmlns="" xmlns:a16="http://schemas.microsoft.com/office/drawing/2014/main" id="{00000000-0008-0000-0100-000046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5" name="直線コネクタ 24">
            <a:extLst>
              <a:ext uri="{FF2B5EF4-FFF2-40B4-BE49-F238E27FC236}">
                <a16:creationId xmlns="" xmlns:a16="http://schemas.microsoft.com/office/drawing/2014/main" id="{00000000-0008-0000-0100-000047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32</xdr:row>
      <xdr:rowOff>76200</xdr:rowOff>
    </xdr:from>
    <xdr:to>
      <xdr:col>18</xdr:col>
      <xdr:colOff>0</xdr:colOff>
      <xdr:row>33</xdr:row>
      <xdr:rowOff>190500</xdr:rowOff>
    </xdr:to>
    <xdr:grpSp>
      <xdr:nvGrpSpPr>
        <xdr:cNvPr id="26" name="グループ化 25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GrpSpPr/>
      </xdr:nvGrpSpPr>
      <xdr:grpSpPr>
        <a:xfrm>
          <a:off x="5197929" y="8703129"/>
          <a:ext cx="625928" cy="372835"/>
          <a:chOff x="5076825" y="1771650"/>
          <a:chExt cx="628650" cy="371475"/>
        </a:xfrm>
      </xdr:grpSpPr>
      <xdr:sp macro="" textlink="">
        <xdr:nvSpPr>
          <xdr:cNvPr id="27" name="AutoShape 208">
            <a:extLst>
              <a:ext uri="{FF2B5EF4-FFF2-40B4-BE49-F238E27FC236}">
                <a16:creationId xmlns="" xmlns:a16="http://schemas.microsoft.com/office/drawing/2014/main" id="{00000000-0008-0000-0100-000049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28" name="直線コネクタ 27">
            <a:extLst>
              <a:ext uri="{FF2B5EF4-FFF2-40B4-BE49-F238E27FC236}">
                <a16:creationId xmlns="" xmlns:a16="http://schemas.microsoft.com/office/drawing/2014/main" id="{00000000-0008-0000-0100-00004A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9" name="直線コネクタ 28">
            <a:extLst>
              <a:ext uri="{FF2B5EF4-FFF2-40B4-BE49-F238E27FC236}">
                <a16:creationId xmlns="" xmlns:a16="http://schemas.microsoft.com/office/drawing/2014/main" id="{00000000-0008-0000-0100-00004B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36</xdr:row>
      <xdr:rowOff>76200</xdr:rowOff>
    </xdr:from>
    <xdr:to>
      <xdr:col>18</xdr:col>
      <xdr:colOff>0</xdr:colOff>
      <xdr:row>37</xdr:row>
      <xdr:rowOff>190500</xdr:rowOff>
    </xdr:to>
    <xdr:grpSp>
      <xdr:nvGrpSpPr>
        <xdr:cNvPr id="30" name="グループ化 29">
          <a:extLst>
            <a:ext uri="{FF2B5EF4-FFF2-40B4-BE49-F238E27FC236}">
              <a16:creationId xmlns="" xmlns:a16="http://schemas.microsoft.com/office/drawing/2014/main" id="{00000000-0008-0000-0100-000050000000}"/>
            </a:ext>
          </a:extLst>
        </xdr:cNvPr>
        <xdr:cNvGrpSpPr/>
      </xdr:nvGrpSpPr>
      <xdr:grpSpPr>
        <a:xfrm>
          <a:off x="5197929" y="9818914"/>
          <a:ext cx="625928" cy="372836"/>
          <a:chOff x="5076825" y="1771650"/>
          <a:chExt cx="628650" cy="371475"/>
        </a:xfrm>
      </xdr:grpSpPr>
      <xdr:sp macro="" textlink="">
        <xdr:nvSpPr>
          <xdr:cNvPr id="31" name="AutoShape 208">
            <a:extLst>
              <a:ext uri="{FF2B5EF4-FFF2-40B4-BE49-F238E27FC236}">
                <a16:creationId xmlns="" xmlns:a16="http://schemas.microsoft.com/office/drawing/2014/main" id="{00000000-0008-0000-0100-000051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32" name="直線コネクタ 31">
            <a:extLst>
              <a:ext uri="{FF2B5EF4-FFF2-40B4-BE49-F238E27FC236}">
                <a16:creationId xmlns="" xmlns:a16="http://schemas.microsoft.com/office/drawing/2014/main" id="{00000000-0008-0000-0100-000052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33" name="直線コネクタ 32">
            <a:extLst>
              <a:ext uri="{FF2B5EF4-FFF2-40B4-BE49-F238E27FC236}">
                <a16:creationId xmlns="" xmlns:a16="http://schemas.microsoft.com/office/drawing/2014/main" id="{00000000-0008-0000-0100-000053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42</xdr:row>
      <xdr:rowOff>76200</xdr:rowOff>
    </xdr:from>
    <xdr:to>
      <xdr:col>18</xdr:col>
      <xdr:colOff>0</xdr:colOff>
      <xdr:row>43</xdr:row>
      <xdr:rowOff>190500</xdr:rowOff>
    </xdr:to>
    <xdr:grpSp>
      <xdr:nvGrpSpPr>
        <xdr:cNvPr id="34" name="グループ化 33"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GrpSpPr/>
      </xdr:nvGrpSpPr>
      <xdr:grpSpPr>
        <a:xfrm>
          <a:off x="5197929" y="11370129"/>
          <a:ext cx="625928" cy="372835"/>
          <a:chOff x="5076825" y="1771650"/>
          <a:chExt cx="628650" cy="371475"/>
        </a:xfrm>
      </xdr:grpSpPr>
      <xdr:sp macro="" textlink="">
        <xdr:nvSpPr>
          <xdr:cNvPr id="35" name="AutoShape 208">
            <a:extLst>
              <a:ext uri="{FF2B5EF4-FFF2-40B4-BE49-F238E27FC236}">
                <a16:creationId xmlns="" xmlns:a16="http://schemas.microsoft.com/office/drawing/2014/main" id="{00000000-0008-0000-0100-000059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36" name="直線コネクタ 35">
            <a:extLst>
              <a:ext uri="{FF2B5EF4-FFF2-40B4-BE49-F238E27FC236}">
                <a16:creationId xmlns="" xmlns:a16="http://schemas.microsoft.com/office/drawing/2014/main" id="{00000000-0008-0000-0100-00005A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37" name="直線コネクタ 36">
            <a:extLst>
              <a:ext uri="{FF2B5EF4-FFF2-40B4-BE49-F238E27FC236}">
                <a16:creationId xmlns="" xmlns:a16="http://schemas.microsoft.com/office/drawing/2014/main" id="{00000000-0008-0000-0100-00005B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46</xdr:row>
      <xdr:rowOff>76200</xdr:rowOff>
    </xdr:from>
    <xdr:to>
      <xdr:col>18</xdr:col>
      <xdr:colOff>0</xdr:colOff>
      <xdr:row>47</xdr:row>
      <xdr:rowOff>190500</xdr:rowOff>
    </xdr:to>
    <xdr:grpSp>
      <xdr:nvGrpSpPr>
        <xdr:cNvPr id="38" name="グループ化 37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GrpSpPr/>
      </xdr:nvGrpSpPr>
      <xdr:grpSpPr>
        <a:xfrm>
          <a:off x="5197929" y="12567557"/>
          <a:ext cx="625928" cy="372836"/>
          <a:chOff x="5076825" y="1771650"/>
          <a:chExt cx="628650" cy="371475"/>
        </a:xfrm>
      </xdr:grpSpPr>
      <xdr:sp macro="" textlink="">
        <xdr:nvSpPr>
          <xdr:cNvPr id="39" name="AutoShape 208">
            <a:extLst>
              <a:ext uri="{FF2B5EF4-FFF2-40B4-BE49-F238E27FC236}">
                <a16:creationId xmlns="" xmlns:a16="http://schemas.microsoft.com/office/drawing/2014/main" id="{00000000-0008-0000-0100-000061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40" name="直線コネクタ 39">
            <a:extLst>
              <a:ext uri="{FF2B5EF4-FFF2-40B4-BE49-F238E27FC236}">
                <a16:creationId xmlns="" xmlns:a16="http://schemas.microsoft.com/office/drawing/2014/main" id="{00000000-0008-0000-0100-000062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41" name="直線コネクタ 40">
            <a:extLst>
              <a:ext uri="{FF2B5EF4-FFF2-40B4-BE49-F238E27FC236}">
                <a16:creationId xmlns="" xmlns:a16="http://schemas.microsoft.com/office/drawing/2014/main" id="{00000000-0008-0000-0100-000063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51</xdr:row>
      <xdr:rowOff>76200</xdr:rowOff>
    </xdr:from>
    <xdr:to>
      <xdr:col>18</xdr:col>
      <xdr:colOff>0</xdr:colOff>
      <xdr:row>52</xdr:row>
      <xdr:rowOff>190500</xdr:rowOff>
    </xdr:to>
    <xdr:grpSp>
      <xdr:nvGrpSpPr>
        <xdr:cNvPr id="42" name="グループ化 41">
          <a:extLst>
            <a:ext uri="{FF2B5EF4-FFF2-40B4-BE49-F238E27FC236}">
              <a16:creationId xmlns="" xmlns:a16="http://schemas.microsoft.com/office/drawing/2014/main" id="{00000000-0008-0000-0100-000068000000}"/>
            </a:ext>
          </a:extLst>
        </xdr:cNvPr>
        <xdr:cNvGrpSpPr/>
      </xdr:nvGrpSpPr>
      <xdr:grpSpPr>
        <a:xfrm>
          <a:off x="5197929" y="13601700"/>
          <a:ext cx="625928" cy="372836"/>
          <a:chOff x="5076825" y="1771650"/>
          <a:chExt cx="628650" cy="371475"/>
        </a:xfrm>
      </xdr:grpSpPr>
      <xdr:sp macro="" textlink="">
        <xdr:nvSpPr>
          <xdr:cNvPr id="43" name="AutoShape 208">
            <a:extLst>
              <a:ext uri="{FF2B5EF4-FFF2-40B4-BE49-F238E27FC236}">
                <a16:creationId xmlns="" xmlns:a16="http://schemas.microsoft.com/office/drawing/2014/main" id="{00000000-0008-0000-0100-000069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44" name="直線コネクタ 43">
            <a:extLst>
              <a:ext uri="{FF2B5EF4-FFF2-40B4-BE49-F238E27FC236}">
                <a16:creationId xmlns="" xmlns:a16="http://schemas.microsoft.com/office/drawing/2014/main" id="{00000000-0008-0000-0100-00006A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45" name="直線コネクタ 44">
            <a:extLst>
              <a:ext uri="{FF2B5EF4-FFF2-40B4-BE49-F238E27FC236}">
                <a16:creationId xmlns="" xmlns:a16="http://schemas.microsoft.com/office/drawing/2014/main" id="{00000000-0008-0000-0100-00006B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56</xdr:row>
      <xdr:rowOff>76200</xdr:rowOff>
    </xdr:from>
    <xdr:to>
      <xdr:col>18</xdr:col>
      <xdr:colOff>0</xdr:colOff>
      <xdr:row>57</xdr:row>
      <xdr:rowOff>190500</xdr:rowOff>
    </xdr:to>
    <xdr:grpSp>
      <xdr:nvGrpSpPr>
        <xdr:cNvPr id="46" name="グループ化 45">
          <a:extLst>
            <a:ext uri="{FF2B5EF4-FFF2-40B4-BE49-F238E27FC236}">
              <a16:creationId xmlns="" xmlns:a16="http://schemas.microsoft.com/office/drawing/2014/main" id="{00000000-0008-0000-0100-00006C000000}"/>
            </a:ext>
          </a:extLst>
        </xdr:cNvPr>
        <xdr:cNvGrpSpPr/>
      </xdr:nvGrpSpPr>
      <xdr:grpSpPr>
        <a:xfrm>
          <a:off x="5197929" y="14635843"/>
          <a:ext cx="625928" cy="372836"/>
          <a:chOff x="5076825" y="1771650"/>
          <a:chExt cx="628650" cy="371475"/>
        </a:xfrm>
      </xdr:grpSpPr>
      <xdr:sp macro="" textlink="">
        <xdr:nvSpPr>
          <xdr:cNvPr id="47" name="AutoShape 208">
            <a:extLst>
              <a:ext uri="{FF2B5EF4-FFF2-40B4-BE49-F238E27FC236}">
                <a16:creationId xmlns="" xmlns:a16="http://schemas.microsoft.com/office/drawing/2014/main" id="{00000000-0008-0000-0100-00006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48" name="直線コネクタ 47">
            <a:extLst>
              <a:ext uri="{FF2B5EF4-FFF2-40B4-BE49-F238E27FC236}">
                <a16:creationId xmlns="" xmlns:a16="http://schemas.microsoft.com/office/drawing/2014/main" id="{00000000-0008-0000-0100-00006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49" name="直線コネクタ 48">
            <a:extLst>
              <a:ext uri="{FF2B5EF4-FFF2-40B4-BE49-F238E27FC236}">
                <a16:creationId xmlns="" xmlns:a16="http://schemas.microsoft.com/office/drawing/2014/main" id="{00000000-0008-0000-0100-00006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61</xdr:row>
      <xdr:rowOff>76200</xdr:rowOff>
    </xdr:from>
    <xdr:to>
      <xdr:col>18</xdr:col>
      <xdr:colOff>0</xdr:colOff>
      <xdr:row>62</xdr:row>
      <xdr:rowOff>190500</xdr:rowOff>
    </xdr:to>
    <xdr:grpSp>
      <xdr:nvGrpSpPr>
        <xdr:cNvPr id="50" name="グループ化 49">
          <a:extLst>
            <a:ext uri="{FF2B5EF4-FFF2-40B4-BE49-F238E27FC236}">
              <a16:creationId xmlns="" xmlns:a16="http://schemas.microsoft.com/office/drawing/2014/main" id="{00000000-0008-0000-0100-000070000000}"/>
            </a:ext>
          </a:extLst>
        </xdr:cNvPr>
        <xdr:cNvGrpSpPr/>
      </xdr:nvGrpSpPr>
      <xdr:grpSpPr>
        <a:xfrm>
          <a:off x="5197929" y="15669986"/>
          <a:ext cx="625928" cy="372835"/>
          <a:chOff x="5076825" y="1771650"/>
          <a:chExt cx="628650" cy="371475"/>
        </a:xfrm>
      </xdr:grpSpPr>
      <xdr:sp macro="" textlink="">
        <xdr:nvSpPr>
          <xdr:cNvPr id="51" name="AutoShape 208">
            <a:extLst>
              <a:ext uri="{FF2B5EF4-FFF2-40B4-BE49-F238E27FC236}">
                <a16:creationId xmlns="" xmlns:a16="http://schemas.microsoft.com/office/drawing/2014/main" id="{00000000-0008-0000-0100-000071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52" name="直線コネクタ 51">
            <a:extLst>
              <a:ext uri="{FF2B5EF4-FFF2-40B4-BE49-F238E27FC236}">
                <a16:creationId xmlns="" xmlns:a16="http://schemas.microsoft.com/office/drawing/2014/main" id="{00000000-0008-0000-0100-000072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53" name="直線コネクタ 52">
            <a:extLst>
              <a:ext uri="{FF2B5EF4-FFF2-40B4-BE49-F238E27FC236}">
                <a16:creationId xmlns="" xmlns:a16="http://schemas.microsoft.com/office/drawing/2014/main" id="{00000000-0008-0000-0100-000073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67</xdr:row>
      <xdr:rowOff>76200</xdr:rowOff>
    </xdr:from>
    <xdr:to>
      <xdr:col>18</xdr:col>
      <xdr:colOff>0</xdr:colOff>
      <xdr:row>68</xdr:row>
      <xdr:rowOff>190500</xdr:rowOff>
    </xdr:to>
    <xdr:grpSp>
      <xdr:nvGrpSpPr>
        <xdr:cNvPr id="54" name="グループ化 53">
          <a:extLst>
            <a:ext uri="{FF2B5EF4-FFF2-40B4-BE49-F238E27FC236}">
              <a16:creationId xmlns="" xmlns:a16="http://schemas.microsoft.com/office/drawing/2014/main" id="{00000000-0008-0000-0100-000078000000}"/>
            </a:ext>
          </a:extLst>
        </xdr:cNvPr>
        <xdr:cNvGrpSpPr/>
      </xdr:nvGrpSpPr>
      <xdr:grpSpPr>
        <a:xfrm>
          <a:off x="5197929" y="17044307"/>
          <a:ext cx="625928" cy="372836"/>
          <a:chOff x="5076825" y="1771650"/>
          <a:chExt cx="628650" cy="371475"/>
        </a:xfrm>
      </xdr:grpSpPr>
      <xdr:sp macro="" textlink="">
        <xdr:nvSpPr>
          <xdr:cNvPr id="55" name="AutoShape 208">
            <a:extLst>
              <a:ext uri="{FF2B5EF4-FFF2-40B4-BE49-F238E27FC236}">
                <a16:creationId xmlns="" xmlns:a16="http://schemas.microsoft.com/office/drawing/2014/main" id="{00000000-0008-0000-0100-000079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56" name="直線コネクタ 55">
            <a:extLst>
              <a:ext uri="{FF2B5EF4-FFF2-40B4-BE49-F238E27FC236}">
                <a16:creationId xmlns="" xmlns:a16="http://schemas.microsoft.com/office/drawing/2014/main" id="{00000000-0008-0000-0100-00007A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57" name="直線コネクタ 56">
            <a:extLst>
              <a:ext uri="{FF2B5EF4-FFF2-40B4-BE49-F238E27FC236}">
                <a16:creationId xmlns="" xmlns:a16="http://schemas.microsoft.com/office/drawing/2014/main" id="{00000000-0008-0000-0100-00007B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72</xdr:row>
      <xdr:rowOff>76200</xdr:rowOff>
    </xdr:from>
    <xdr:to>
      <xdr:col>18</xdr:col>
      <xdr:colOff>0</xdr:colOff>
      <xdr:row>73</xdr:row>
      <xdr:rowOff>190500</xdr:rowOff>
    </xdr:to>
    <xdr:grpSp>
      <xdr:nvGrpSpPr>
        <xdr:cNvPr id="58" name="グループ化 57">
          <a:extLst>
            <a:ext uri="{FF2B5EF4-FFF2-40B4-BE49-F238E27FC236}">
              <a16:creationId xmlns="" xmlns:a16="http://schemas.microsoft.com/office/drawing/2014/main" id="{00000000-0008-0000-0100-000080000000}"/>
            </a:ext>
          </a:extLst>
        </xdr:cNvPr>
        <xdr:cNvGrpSpPr/>
      </xdr:nvGrpSpPr>
      <xdr:grpSpPr>
        <a:xfrm>
          <a:off x="5197929" y="18078450"/>
          <a:ext cx="625928" cy="372836"/>
          <a:chOff x="5076825" y="1771650"/>
          <a:chExt cx="628650" cy="371475"/>
        </a:xfrm>
      </xdr:grpSpPr>
      <xdr:sp macro="" textlink="">
        <xdr:nvSpPr>
          <xdr:cNvPr id="59" name="AutoShape 208">
            <a:extLst>
              <a:ext uri="{FF2B5EF4-FFF2-40B4-BE49-F238E27FC236}">
                <a16:creationId xmlns="" xmlns:a16="http://schemas.microsoft.com/office/drawing/2014/main" id="{00000000-0008-0000-0100-000081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60" name="直線コネクタ 59">
            <a:extLst>
              <a:ext uri="{FF2B5EF4-FFF2-40B4-BE49-F238E27FC236}">
                <a16:creationId xmlns="" xmlns:a16="http://schemas.microsoft.com/office/drawing/2014/main" id="{00000000-0008-0000-0100-000082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61" name="直線コネクタ 60">
            <a:extLst>
              <a:ext uri="{FF2B5EF4-FFF2-40B4-BE49-F238E27FC236}">
                <a16:creationId xmlns="" xmlns:a16="http://schemas.microsoft.com/office/drawing/2014/main" id="{00000000-0008-0000-0100-000083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72</xdr:row>
      <xdr:rowOff>76200</xdr:rowOff>
    </xdr:from>
    <xdr:to>
      <xdr:col>35</xdr:col>
      <xdr:colOff>0</xdr:colOff>
      <xdr:row>73</xdr:row>
      <xdr:rowOff>190500</xdr:rowOff>
    </xdr:to>
    <xdr:grpSp>
      <xdr:nvGrpSpPr>
        <xdr:cNvPr id="62" name="グループ化 61">
          <a:extLst>
            <a:ext uri="{FF2B5EF4-FFF2-40B4-BE49-F238E27FC236}">
              <a16:creationId xmlns="" xmlns:a16="http://schemas.microsoft.com/office/drawing/2014/main" id="{00000000-0008-0000-0100-000088000000}"/>
            </a:ext>
          </a:extLst>
        </xdr:cNvPr>
        <xdr:cNvGrpSpPr/>
      </xdr:nvGrpSpPr>
      <xdr:grpSpPr>
        <a:xfrm>
          <a:off x="10042071" y="18078450"/>
          <a:ext cx="625929" cy="372836"/>
          <a:chOff x="5076825" y="1771650"/>
          <a:chExt cx="628650" cy="371475"/>
        </a:xfrm>
      </xdr:grpSpPr>
      <xdr:sp macro="" textlink="">
        <xdr:nvSpPr>
          <xdr:cNvPr id="63" name="AutoShape 208">
            <a:extLst>
              <a:ext uri="{FF2B5EF4-FFF2-40B4-BE49-F238E27FC236}">
                <a16:creationId xmlns="" xmlns:a16="http://schemas.microsoft.com/office/drawing/2014/main" id="{00000000-0008-0000-0100-000089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64" name="直線コネクタ 63">
            <a:extLst>
              <a:ext uri="{FF2B5EF4-FFF2-40B4-BE49-F238E27FC236}">
                <a16:creationId xmlns="" xmlns:a16="http://schemas.microsoft.com/office/drawing/2014/main" id="{00000000-0008-0000-0100-00008A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65" name="直線コネクタ 64">
            <a:extLst>
              <a:ext uri="{FF2B5EF4-FFF2-40B4-BE49-F238E27FC236}">
                <a16:creationId xmlns="" xmlns:a16="http://schemas.microsoft.com/office/drawing/2014/main" id="{00000000-0008-0000-0100-00008B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67</xdr:row>
      <xdr:rowOff>76200</xdr:rowOff>
    </xdr:from>
    <xdr:to>
      <xdr:col>35</xdr:col>
      <xdr:colOff>0</xdr:colOff>
      <xdr:row>68</xdr:row>
      <xdr:rowOff>190500</xdr:rowOff>
    </xdr:to>
    <xdr:grpSp>
      <xdr:nvGrpSpPr>
        <xdr:cNvPr id="66" name="グループ化 65">
          <a:extLst>
            <a:ext uri="{FF2B5EF4-FFF2-40B4-BE49-F238E27FC236}">
              <a16:creationId xmlns="" xmlns:a16="http://schemas.microsoft.com/office/drawing/2014/main" id="{00000000-0008-0000-0100-00008C000000}"/>
            </a:ext>
          </a:extLst>
        </xdr:cNvPr>
        <xdr:cNvGrpSpPr/>
      </xdr:nvGrpSpPr>
      <xdr:grpSpPr>
        <a:xfrm>
          <a:off x="10042071" y="17044307"/>
          <a:ext cx="625929" cy="372836"/>
          <a:chOff x="5076825" y="1771650"/>
          <a:chExt cx="628650" cy="371475"/>
        </a:xfrm>
      </xdr:grpSpPr>
      <xdr:sp macro="" textlink="">
        <xdr:nvSpPr>
          <xdr:cNvPr id="67" name="AutoShape 208">
            <a:extLst>
              <a:ext uri="{FF2B5EF4-FFF2-40B4-BE49-F238E27FC236}">
                <a16:creationId xmlns="" xmlns:a16="http://schemas.microsoft.com/office/drawing/2014/main" id="{00000000-0008-0000-0100-00008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68" name="直線コネクタ 67">
            <a:extLst>
              <a:ext uri="{FF2B5EF4-FFF2-40B4-BE49-F238E27FC236}">
                <a16:creationId xmlns="" xmlns:a16="http://schemas.microsoft.com/office/drawing/2014/main" id="{00000000-0008-0000-0100-00008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69" name="直線コネクタ 68">
            <a:extLst>
              <a:ext uri="{FF2B5EF4-FFF2-40B4-BE49-F238E27FC236}">
                <a16:creationId xmlns="" xmlns:a16="http://schemas.microsoft.com/office/drawing/2014/main" id="{00000000-0008-0000-0100-00008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61</xdr:row>
      <xdr:rowOff>76200</xdr:rowOff>
    </xdr:from>
    <xdr:to>
      <xdr:col>35</xdr:col>
      <xdr:colOff>0</xdr:colOff>
      <xdr:row>62</xdr:row>
      <xdr:rowOff>190500</xdr:rowOff>
    </xdr:to>
    <xdr:grpSp>
      <xdr:nvGrpSpPr>
        <xdr:cNvPr id="70" name="グループ化 69">
          <a:extLst>
            <a:ext uri="{FF2B5EF4-FFF2-40B4-BE49-F238E27FC236}">
              <a16:creationId xmlns="" xmlns:a16="http://schemas.microsoft.com/office/drawing/2014/main" id="{00000000-0008-0000-0100-000090000000}"/>
            </a:ext>
          </a:extLst>
        </xdr:cNvPr>
        <xdr:cNvGrpSpPr/>
      </xdr:nvGrpSpPr>
      <xdr:grpSpPr>
        <a:xfrm>
          <a:off x="10042071" y="15669986"/>
          <a:ext cx="625929" cy="372835"/>
          <a:chOff x="5076825" y="1771650"/>
          <a:chExt cx="628650" cy="371475"/>
        </a:xfrm>
      </xdr:grpSpPr>
      <xdr:sp macro="" textlink="">
        <xdr:nvSpPr>
          <xdr:cNvPr id="71" name="AutoShape 208">
            <a:extLst>
              <a:ext uri="{FF2B5EF4-FFF2-40B4-BE49-F238E27FC236}">
                <a16:creationId xmlns="" xmlns:a16="http://schemas.microsoft.com/office/drawing/2014/main" id="{00000000-0008-0000-0100-000091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72" name="直線コネクタ 71">
            <a:extLst>
              <a:ext uri="{FF2B5EF4-FFF2-40B4-BE49-F238E27FC236}">
                <a16:creationId xmlns="" xmlns:a16="http://schemas.microsoft.com/office/drawing/2014/main" id="{00000000-0008-0000-0100-000092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73" name="直線コネクタ 72">
            <a:extLst>
              <a:ext uri="{FF2B5EF4-FFF2-40B4-BE49-F238E27FC236}">
                <a16:creationId xmlns="" xmlns:a16="http://schemas.microsoft.com/office/drawing/2014/main" id="{00000000-0008-0000-0100-000093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56</xdr:row>
      <xdr:rowOff>76200</xdr:rowOff>
    </xdr:from>
    <xdr:to>
      <xdr:col>35</xdr:col>
      <xdr:colOff>0</xdr:colOff>
      <xdr:row>57</xdr:row>
      <xdr:rowOff>190500</xdr:rowOff>
    </xdr:to>
    <xdr:grpSp>
      <xdr:nvGrpSpPr>
        <xdr:cNvPr id="74" name="グループ化 73">
          <a:extLst>
            <a:ext uri="{FF2B5EF4-FFF2-40B4-BE49-F238E27FC236}">
              <a16:creationId xmlns="" xmlns:a16="http://schemas.microsoft.com/office/drawing/2014/main" id="{00000000-0008-0000-0100-000098000000}"/>
            </a:ext>
          </a:extLst>
        </xdr:cNvPr>
        <xdr:cNvGrpSpPr/>
      </xdr:nvGrpSpPr>
      <xdr:grpSpPr>
        <a:xfrm>
          <a:off x="10042071" y="14635843"/>
          <a:ext cx="625929" cy="372836"/>
          <a:chOff x="5076825" y="1771650"/>
          <a:chExt cx="628650" cy="371475"/>
        </a:xfrm>
      </xdr:grpSpPr>
      <xdr:sp macro="" textlink="">
        <xdr:nvSpPr>
          <xdr:cNvPr id="75" name="AutoShape 208">
            <a:extLst>
              <a:ext uri="{FF2B5EF4-FFF2-40B4-BE49-F238E27FC236}">
                <a16:creationId xmlns="" xmlns:a16="http://schemas.microsoft.com/office/drawing/2014/main" id="{00000000-0008-0000-0100-000099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76" name="直線コネクタ 75">
            <a:extLst>
              <a:ext uri="{FF2B5EF4-FFF2-40B4-BE49-F238E27FC236}">
                <a16:creationId xmlns="" xmlns:a16="http://schemas.microsoft.com/office/drawing/2014/main" id="{00000000-0008-0000-0100-00009A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77" name="直線コネクタ 76">
            <a:extLst>
              <a:ext uri="{FF2B5EF4-FFF2-40B4-BE49-F238E27FC236}">
                <a16:creationId xmlns="" xmlns:a16="http://schemas.microsoft.com/office/drawing/2014/main" id="{00000000-0008-0000-0100-00009B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51</xdr:row>
      <xdr:rowOff>76200</xdr:rowOff>
    </xdr:from>
    <xdr:to>
      <xdr:col>35</xdr:col>
      <xdr:colOff>0</xdr:colOff>
      <xdr:row>52</xdr:row>
      <xdr:rowOff>190500</xdr:rowOff>
    </xdr:to>
    <xdr:grpSp>
      <xdr:nvGrpSpPr>
        <xdr:cNvPr id="78" name="グループ化 77">
          <a:extLst>
            <a:ext uri="{FF2B5EF4-FFF2-40B4-BE49-F238E27FC236}">
              <a16:creationId xmlns="" xmlns:a16="http://schemas.microsoft.com/office/drawing/2014/main" id="{00000000-0008-0000-0100-0000A0000000}"/>
            </a:ext>
          </a:extLst>
        </xdr:cNvPr>
        <xdr:cNvGrpSpPr/>
      </xdr:nvGrpSpPr>
      <xdr:grpSpPr>
        <a:xfrm>
          <a:off x="10042071" y="13601700"/>
          <a:ext cx="625929" cy="372836"/>
          <a:chOff x="5076825" y="1771650"/>
          <a:chExt cx="628650" cy="371475"/>
        </a:xfrm>
      </xdr:grpSpPr>
      <xdr:sp macro="" textlink="">
        <xdr:nvSpPr>
          <xdr:cNvPr id="79" name="AutoShape 208">
            <a:extLst>
              <a:ext uri="{FF2B5EF4-FFF2-40B4-BE49-F238E27FC236}">
                <a16:creationId xmlns="" xmlns:a16="http://schemas.microsoft.com/office/drawing/2014/main" id="{00000000-0008-0000-0100-0000A1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80" name="直線コネクタ 79">
            <a:extLst>
              <a:ext uri="{FF2B5EF4-FFF2-40B4-BE49-F238E27FC236}">
                <a16:creationId xmlns="" xmlns:a16="http://schemas.microsoft.com/office/drawing/2014/main" id="{00000000-0008-0000-0100-0000A2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81" name="直線コネクタ 80">
            <a:extLst>
              <a:ext uri="{FF2B5EF4-FFF2-40B4-BE49-F238E27FC236}">
                <a16:creationId xmlns="" xmlns:a16="http://schemas.microsoft.com/office/drawing/2014/main" id="{00000000-0008-0000-0100-0000A3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46</xdr:row>
      <xdr:rowOff>76200</xdr:rowOff>
    </xdr:from>
    <xdr:to>
      <xdr:col>35</xdr:col>
      <xdr:colOff>0</xdr:colOff>
      <xdr:row>47</xdr:row>
      <xdr:rowOff>190500</xdr:rowOff>
    </xdr:to>
    <xdr:grpSp>
      <xdr:nvGrpSpPr>
        <xdr:cNvPr id="82" name="グループ化 81">
          <a:extLst>
            <a:ext uri="{FF2B5EF4-FFF2-40B4-BE49-F238E27FC236}">
              <a16:creationId xmlns="" xmlns:a16="http://schemas.microsoft.com/office/drawing/2014/main" id="{00000000-0008-0000-0100-0000A4000000}"/>
            </a:ext>
          </a:extLst>
        </xdr:cNvPr>
        <xdr:cNvGrpSpPr/>
      </xdr:nvGrpSpPr>
      <xdr:grpSpPr>
        <a:xfrm>
          <a:off x="10042071" y="12567557"/>
          <a:ext cx="625929" cy="372836"/>
          <a:chOff x="5076825" y="1771650"/>
          <a:chExt cx="628650" cy="371475"/>
        </a:xfrm>
      </xdr:grpSpPr>
      <xdr:sp macro="" textlink="">
        <xdr:nvSpPr>
          <xdr:cNvPr id="83" name="AutoShape 208">
            <a:extLst>
              <a:ext uri="{FF2B5EF4-FFF2-40B4-BE49-F238E27FC236}">
                <a16:creationId xmlns="" xmlns:a16="http://schemas.microsoft.com/office/drawing/2014/main" id="{00000000-0008-0000-0100-0000A5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84" name="直線コネクタ 83">
            <a:extLst>
              <a:ext uri="{FF2B5EF4-FFF2-40B4-BE49-F238E27FC236}">
                <a16:creationId xmlns="" xmlns:a16="http://schemas.microsoft.com/office/drawing/2014/main" id="{00000000-0008-0000-0100-0000A6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85" name="直線コネクタ 84">
            <a:extLst>
              <a:ext uri="{FF2B5EF4-FFF2-40B4-BE49-F238E27FC236}">
                <a16:creationId xmlns="" xmlns:a16="http://schemas.microsoft.com/office/drawing/2014/main" id="{00000000-0008-0000-0100-0000A7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42</xdr:row>
      <xdr:rowOff>76200</xdr:rowOff>
    </xdr:from>
    <xdr:to>
      <xdr:col>35</xdr:col>
      <xdr:colOff>0</xdr:colOff>
      <xdr:row>43</xdr:row>
      <xdr:rowOff>190500</xdr:rowOff>
    </xdr:to>
    <xdr:grpSp>
      <xdr:nvGrpSpPr>
        <xdr:cNvPr id="86" name="グループ化 85">
          <a:extLst>
            <a:ext uri="{FF2B5EF4-FFF2-40B4-BE49-F238E27FC236}">
              <a16:creationId xmlns="" xmlns:a16="http://schemas.microsoft.com/office/drawing/2014/main" id="{00000000-0008-0000-0100-0000AC000000}"/>
            </a:ext>
          </a:extLst>
        </xdr:cNvPr>
        <xdr:cNvGrpSpPr/>
      </xdr:nvGrpSpPr>
      <xdr:grpSpPr>
        <a:xfrm>
          <a:off x="10042071" y="11370129"/>
          <a:ext cx="625929" cy="372835"/>
          <a:chOff x="5076825" y="1771650"/>
          <a:chExt cx="628650" cy="371475"/>
        </a:xfrm>
      </xdr:grpSpPr>
      <xdr:sp macro="" textlink="">
        <xdr:nvSpPr>
          <xdr:cNvPr id="87" name="AutoShape 208">
            <a:extLst>
              <a:ext uri="{FF2B5EF4-FFF2-40B4-BE49-F238E27FC236}">
                <a16:creationId xmlns="" xmlns:a16="http://schemas.microsoft.com/office/drawing/2014/main" id="{00000000-0008-0000-0100-0000A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88" name="直線コネクタ 87">
            <a:extLst>
              <a:ext uri="{FF2B5EF4-FFF2-40B4-BE49-F238E27FC236}">
                <a16:creationId xmlns="" xmlns:a16="http://schemas.microsoft.com/office/drawing/2014/main" id="{00000000-0008-0000-0100-0000A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89" name="直線コネクタ 88">
            <a:extLst>
              <a:ext uri="{FF2B5EF4-FFF2-40B4-BE49-F238E27FC236}">
                <a16:creationId xmlns="" xmlns:a16="http://schemas.microsoft.com/office/drawing/2014/main" id="{00000000-0008-0000-0100-0000A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36</xdr:row>
      <xdr:rowOff>76200</xdr:rowOff>
    </xdr:from>
    <xdr:to>
      <xdr:col>35</xdr:col>
      <xdr:colOff>0</xdr:colOff>
      <xdr:row>37</xdr:row>
      <xdr:rowOff>190500</xdr:rowOff>
    </xdr:to>
    <xdr:grpSp>
      <xdr:nvGrpSpPr>
        <xdr:cNvPr id="90" name="グループ化 89">
          <a:extLst>
            <a:ext uri="{FF2B5EF4-FFF2-40B4-BE49-F238E27FC236}">
              <a16:creationId xmlns="" xmlns:a16="http://schemas.microsoft.com/office/drawing/2014/main" id="{00000000-0008-0000-0100-0000B4000000}"/>
            </a:ext>
          </a:extLst>
        </xdr:cNvPr>
        <xdr:cNvGrpSpPr/>
      </xdr:nvGrpSpPr>
      <xdr:grpSpPr>
        <a:xfrm>
          <a:off x="10042071" y="9818914"/>
          <a:ext cx="625929" cy="372836"/>
          <a:chOff x="5076825" y="1771650"/>
          <a:chExt cx="628650" cy="371475"/>
        </a:xfrm>
      </xdr:grpSpPr>
      <xdr:sp macro="" textlink="">
        <xdr:nvSpPr>
          <xdr:cNvPr id="91" name="AutoShape 208">
            <a:extLst>
              <a:ext uri="{FF2B5EF4-FFF2-40B4-BE49-F238E27FC236}">
                <a16:creationId xmlns="" xmlns:a16="http://schemas.microsoft.com/office/drawing/2014/main" id="{00000000-0008-0000-0100-0000B5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92" name="直線コネクタ 91">
            <a:extLst>
              <a:ext uri="{FF2B5EF4-FFF2-40B4-BE49-F238E27FC236}">
                <a16:creationId xmlns="" xmlns:a16="http://schemas.microsoft.com/office/drawing/2014/main" id="{00000000-0008-0000-0100-0000B6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93" name="直線コネクタ 92">
            <a:extLst>
              <a:ext uri="{FF2B5EF4-FFF2-40B4-BE49-F238E27FC236}">
                <a16:creationId xmlns="" xmlns:a16="http://schemas.microsoft.com/office/drawing/2014/main" id="{00000000-0008-0000-0100-0000B7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32</xdr:row>
      <xdr:rowOff>76200</xdr:rowOff>
    </xdr:from>
    <xdr:to>
      <xdr:col>35</xdr:col>
      <xdr:colOff>0</xdr:colOff>
      <xdr:row>33</xdr:row>
      <xdr:rowOff>190500</xdr:rowOff>
    </xdr:to>
    <xdr:grpSp>
      <xdr:nvGrpSpPr>
        <xdr:cNvPr id="94" name="グループ化 93">
          <a:extLst>
            <a:ext uri="{FF2B5EF4-FFF2-40B4-BE49-F238E27FC236}">
              <a16:creationId xmlns="" xmlns:a16="http://schemas.microsoft.com/office/drawing/2014/main" id="{00000000-0008-0000-0100-0000C4000000}"/>
            </a:ext>
          </a:extLst>
        </xdr:cNvPr>
        <xdr:cNvGrpSpPr/>
      </xdr:nvGrpSpPr>
      <xdr:grpSpPr>
        <a:xfrm>
          <a:off x="10042071" y="8703129"/>
          <a:ext cx="625929" cy="372835"/>
          <a:chOff x="5076825" y="1771650"/>
          <a:chExt cx="628650" cy="371475"/>
        </a:xfrm>
      </xdr:grpSpPr>
      <xdr:sp macro="" textlink="">
        <xdr:nvSpPr>
          <xdr:cNvPr id="95" name="AutoShape 208">
            <a:extLst>
              <a:ext uri="{FF2B5EF4-FFF2-40B4-BE49-F238E27FC236}">
                <a16:creationId xmlns="" xmlns:a16="http://schemas.microsoft.com/office/drawing/2014/main" id="{00000000-0008-0000-0100-0000C5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96" name="直線コネクタ 95">
            <a:extLst>
              <a:ext uri="{FF2B5EF4-FFF2-40B4-BE49-F238E27FC236}">
                <a16:creationId xmlns="" xmlns:a16="http://schemas.microsoft.com/office/drawing/2014/main" id="{00000000-0008-0000-0100-0000C6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97" name="直線コネクタ 96">
            <a:extLst>
              <a:ext uri="{FF2B5EF4-FFF2-40B4-BE49-F238E27FC236}">
                <a16:creationId xmlns="" xmlns:a16="http://schemas.microsoft.com/office/drawing/2014/main" id="{00000000-0008-0000-0100-0000C7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29</xdr:row>
      <xdr:rowOff>76200</xdr:rowOff>
    </xdr:from>
    <xdr:to>
      <xdr:col>35</xdr:col>
      <xdr:colOff>0</xdr:colOff>
      <xdr:row>30</xdr:row>
      <xdr:rowOff>190500</xdr:rowOff>
    </xdr:to>
    <xdr:grpSp>
      <xdr:nvGrpSpPr>
        <xdr:cNvPr id="98" name="グループ化 97">
          <a:extLst>
            <a:ext uri="{FF2B5EF4-FFF2-40B4-BE49-F238E27FC236}">
              <a16:creationId xmlns="" xmlns:a16="http://schemas.microsoft.com/office/drawing/2014/main" id="{00000000-0008-0000-0100-0000CC000000}"/>
            </a:ext>
          </a:extLst>
        </xdr:cNvPr>
        <xdr:cNvGrpSpPr/>
      </xdr:nvGrpSpPr>
      <xdr:grpSpPr>
        <a:xfrm>
          <a:off x="10042071" y="7927521"/>
          <a:ext cx="625929" cy="372836"/>
          <a:chOff x="5076825" y="1771650"/>
          <a:chExt cx="628650" cy="371475"/>
        </a:xfrm>
      </xdr:grpSpPr>
      <xdr:sp macro="" textlink="">
        <xdr:nvSpPr>
          <xdr:cNvPr id="99" name="AutoShape 208">
            <a:extLst>
              <a:ext uri="{FF2B5EF4-FFF2-40B4-BE49-F238E27FC236}">
                <a16:creationId xmlns="" xmlns:a16="http://schemas.microsoft.com/office/drawing/2014/main" id="{00000000-0008-0000-0100-0000C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00" name="直線コネクタ 99">
            <a:extLst>
              <a:ext uri="{FF2B5EF4-FFF2-40B4-BE49-F238E27FC236}">
                <a16:creationId xmlns="" xmlns:a16="http://schemas.microsoft.com/office/drawing/2014/main" id="{00000000-0008-0000-0100-0000C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01" name="直線コネクタ 100">
            <a:extLst>
              <a:ext uri="{FF2B5EF4-FFF2-40B4-BE49-F238E27FC236}">
                <a16:creationId xmlns="" xmlns:a16="http://schemas.microsoft.com/office/drawing/2014/main" id="{00000000-0008-0000-0100-0000C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25</xdr:row>
      <xdr:rowOff>76200</xdr:rowOff>
    </xdr:from>
    <xdr:to>
      <xdr:col>35</xdr:col>
      <xdr:colOff>0</xdr:colOff>
      <xdr:row>26</xdr:row>
      <xdr:rowOff>190500</xdr:rowOff>
    </xdr:to>
    <xdr:grpSp>
      <xdr:nvGrpSpPr>
        <xdr:cNvPr id="102" name="グループ化 101">
          <a:extLst>
            <a:ext uri="{FF2B5EF4-FFF2-40B4-BE49-F238E27FC236}">
              <a16:creationId xmlns="" xmlns:a16="http://schemas.microsoft.com/office/drawing/2014/main" id="{00000000-0008-0000-0100-0000D4000000}"/>
            </a:ext>
          </a:extLst>
        </xdr:cNvPr>
        <xdr:cNvGrpSpPr/>
      </xdr:nvGrpSpPr>
      <xdr:grpSpPr>
        <a:xfrm>
          <a:off x="10042071" y="6852557"/>
          <a:ext cx="625929" cy="372836"/>
          <a:chOff x="5076825" y="1771650"/>
          <a:chExt cx="628650" cy="371475"/>
        </a:xfrm>
      </xdr:grpSpPr>
      <xdr:sp macro="" textlink="">
        <xdr:nvSpPr>
          <xdr:cNvPr id="103" name="AutoShape 208">
            <a:extLst>
              <a:ext uri="{FF2B5EF4-FFF2-40B4-BE49-F238E27FC236}">
                <a16:creationId xmlns="" xmlns:a16="http://schemas.microsoft.com/office/drawing/2014/main" id="{00000000-0008-0000-0100-0000D5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04" name="直線コネクタ 103">
            <a:extLst>
              <a:ext uri="{FF2B5EF4-FFF2-40B4-BE49-F238E27FC236}">
                <a16:creationId xmlns="" xmlns:a16="http://schemas.microsoft.com/office/drawing/2014/main" id="{00000000-0008-0000-0100-0000D6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05" name="直線コネクタ 104">
            <a:extLst>
              <a:ext uri="{FF2B5EF4-FFF2-40B4-BE49-F238E27FC236}">
                <a16:creationId xmlns="" xmlns:a16="http://schemas.microsoft.com/office/drawing/2014/main" id="{00000000-0008-0000-0100-0000D7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22</xdr:row>
      <xdr:rowOff>76200</xdr:rowOff>
    </xdr:from>
    <xdr:to>
      <xdr:col>35</xdr:col>
      <xdr:colOff>0</xdr:colOff>
      <xdr:row>23</xdr:row>
      <xdr:rowOff>190500</xdr:rowOff>
    </xdr:to>
    <xdr:grpSp>
      <xdr:nvGrpSpPr>
        <xdr:cNvPr id="106" name="グループ化 105">
          <a:extLst>
            <a:ext uri="{FF2B5EF4-FFF2-40B4-BE49-F238E27FC236}">
              <a16:creationId xmlns="" xmlns:a16="http://schemas.microsoft.com/office/drawing/2014/main" id="{00000000-0008-0000-0100-0000DC000000}"/>
            </a:ext>
          </a:extLst>
        </xdr:cNvPr>
        <xdr:cNvGrpSpPr/>
      </xdr:nvGrpSpPr>
      <xdr:grpSpPr>
        <a:xfrm>
          <a:off x="10042071" y="6076950"/>
          <a:ext cx="625929" cy="372836"/>
          <a:chOff x="5076825" y="1771650"/>
          <a:chExt cx="628650" cy="371475"/>
        </a:xfrm>
      </xdr:grpSpPr>
      <xdr:sp macro="" textlink="">
        <xdr:nvSpPr>
          <xdr:cNvPr id="107" name="AutoShape 208">
            <a:extLst>
              <a:ext uri="{FF2B5EF4-FFF2-40B4-BE49-F238E27FC236}">
                <a16:creationId xmlns="" xmlns:a16="http://schemas.microsoft.com/office/drawing/2014/main" id="{00000000-0008-0000-0100-0000D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08" name="直線コネクタ 107">
            <a:extLst>
              <a:ext uri="{FF2B5EF4-FFF2-40B4-BE49-F238E27FC236}">
                <a16:creationId xmlns="" xmlns:a16="http://schemas.microsoft.com/office/drawing/2014/main" id="{00000000-0008-0000-0100-0000D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09" name="直線コネクタ 108">
            <a:extLst>
              <a:ext uri="{FF2B5EF4-FFF2-40B4-BE49-F238E27FC236}">
                <a16:creationId xmlns="" xmlns:a16="http://schemas.microsoft.com/office/drawing/2014/main" id="{00000000-0008-0000-0100-0000D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6</xdr:row>
      <xdr:rowOff>76200</xdr:rowOff>
    </xdr:from>
    <xdr:to>
      <xdr:col>35</xdr:col>
      <xdr:colOff>0</xdr:colOff>
      <xdr:row>7</xdr:row>
      <xdr:rowOff>190500</xdr:rowOff>
    </xdr:to>
    <xdr:grpSp>
      <xdr:nvGrpSpPr>
        <xdr:cNvPr id="110" name="グループ化 109">
          <a:extLst>
            <a:ext uri="{FF2B5EF4-FFF2-40B4-BE49-F238E27FC236}">
              <a16:creationId xmlns="" xmlns:a16="http://schemas.microsoft.com/office/drawing/2014/main" id="{00000000-0008-0000-0100-0000E4000000}"/>
            </a:ext>
          </a:extLst>
        </xdr:cNvPr>
        <xdr:cNvGrpSpPr/>
      </xdr:nvGrpSpPr>
      <xdr:grpSpPr>
        <a:xfrm>
          <a:off x="10042071" y="1777093"/>
          <a:ext cx="625929" cy="372836"/>
          <a:chOff x="5076825" y="1771650"/>
          <a:chExt cx="628650" cy="371475"/>
        </a:xfrm>
      </xdr:grpSpPr>
      <xdr:sp macro="" textlink="">
        <xdr:nvSpPr>
          <xdr:cNvPr id="111" name="AutoShape 208">
            <a:extLst>
              <a:ext uri="{FF2B5EF4-FFF2-40B4-BE49-F238E27FC236}">
                <a16:creationId xmlns="" xmlns:a16="http://schemas.microsoft.com/office/drawing/2014/main" id="{00000000-0008-0000-0100-0000E5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12" name="直線コネクタ 111">
            <a:extLst>
              <a:ext uri="{FF2B5EF4-FFF2-40B4-BE49-F238E27FC236}">
                <a16:creationId xmlns="" xmlns:a16="http://schemas.microsoft.com/office/drawing/2014/main" id="{00000000-0008-0000-0100-0000E6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13" name="直線コネクタ 112">
            <a:extLst>
              <a:ext uri="{FF2B5EF4-FFF2-40B4-BE49-F238E27FC236}">
                <a16:creationId xmlns="" xmlns:a16="http://schemas.microsoft.com/office/drawing/2014/main" id="{00000000-0008-0000-0100-0000E7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9</xdr:row>
      <xdr:rowOff>76200</xdr:rowOff>
    </xdr:from>
    <xdr:to>
      <xdr:col>35</xdr:col>
      <xdr:colOff>0</xdr:colOff>
      <xdr:row>10</xdr:row>
      <xdr:rowOff>190500</xdr:rowOff>
    </xdr:to>
    <xdr:grpSp>
      <xdr:nvGrpSpPr>
        <xdr:cNvPr id="114" name="グループ化 113">
          <a:extLst>
            <a:ext uri="{FF2B5EF4-FFF2-40B4-BE49-F238E27FC236}">
              <a16:creationId xmlns="" xmlns:a16="http://schemas.microsoft.com/office/drawing/2014/main" id="{00000000-0008-0000-0100-0000EC000000}"/>
            </a:ext>
          </a:extLst>
        </xdr:cNvPr>
        <xdr:cNvGrpSpPr/>
      </xdr:nvGrpSpPr>
      <xdr:grpSpPr>
        <a:xfrm>
          <a:off x="10042071" y="2552700"/>
          <a:ext cx="625929" cy="372836"/>
          <a:chOff x="5076825" y="1771650"/>
          <a:chExt cx="628650" cy="371475"/>
        </a:xfrm>
      </xdr:grpSpPr>
      <xdr:sp macro="" textlink="">
        <xdr:nvSpPr>
          <xdr:cNvPr id="115" name="AutoShape 208">
            <a:extLst>
              <a:ext uri="{FF2B5EF4-FFF2-40B4-BE49-F238E27FC236}">
                <a16:creationId xmlns="" xmlns:a16="http://schemas.microsoft.com/office/drawing/2014/main" id="{00000000-0008-0000-0100-0000E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16" name="直線コネクタ 115">
            <a:extLst>
              <a:ext uri="{FF2B5EF4-FFF2-40B4-BE49-F238E27FC236}">
                <a16:creationId xmlns="" xmlns:a16="http://schemas.microsoft.com/office/drawing/2014/main" id="{00000000-0008-0000-0100-0000E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17" name="直線コネクタ 116">
            <a:extLst>
              <a:ext uri="{FF2B5EF4-FFF2-40B4-BE49-F238E27FC236}">
                <a16:creationId xmlns="" xmlns:a16="http://schemas.microsoft.com/office/drawing/2014/main" id="{00000000-0008-0000-0100-0000E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19</xdr:row>
      <xdr:rowOff>76200</xdr:rowOff>
    </xdr:from>
    <xdr:to>
      <xdr:col>35</xdr:col>
      <xdr:colOff>0</xdr:colOff>
      <xdr:row>20</xdr:row>
      <xdr:rowOff>190500</xdr:rowOff>
    </xdr:to>
    <xdr:grpSp>
      <xdr:nvGrpSpPr>
        <xdr:cNvPr id="118" name="グループ化 117">
          <a:extLst>
            <a:ext uri="{FF2B5EF4-FFF2-40B4-BE49-F238E27FC236}">
              <a16:creationId xmlns="" xmlns:a16="http://schemas.microsoft.com/office/drawing/2014/main" id="{00000000-0008-0000-0100-0000F4000000}"/>
            </a:ext>
          </a:extLst>
        </xdr:cNvPr>
        <xdr:cNvGrpSpPr/>
      </xdr:nvGrpSpPr>
      <xdr:grpSpPr>
        <a:xfrm>
          <a:off x="10042071" y="5301343"/>
          <a:ext cx="625929" cy="372836"/>
          <a:chOff x="5076825" y="1771650"/>
          <a:chExt cx="628650" cy="371475"/>
        </a:xfrm>
      </xdr:grpSpPr>
      <xdr:sp macro="" textlink="">
        <xdr:nvSpPr>
          <xdr:cNvPr id="119" name="AutoShape 208">
            <a:extLst>
              <a:ext uri="{FF2B5EF4-FFF2-40B4-BE49-F238E27FC236}">
                <a16:creationId xmlns="" xmlns:a16="http://schemas.microsoft.com/office/drawing/2014/main" id="{00000000-0008-0000-0100-0000F5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20" name="直線コネクタ 119">
            <a:extLst>
              <a:ext uri="{FF2B5EF4-FFF2-40B4-BE49-F238E27FC236}">
                <a16:creationId xmlns="" xmlns:a16="http://schemas.microsoft.com/office/drawing/2014/main" id="{00000000-0008-0000-0100-0000F6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21" name="直線コネクタ 120">
            <a:extLst>
              <a:ext uri="{FF2B5EF4-FFF2-40B4-BE49-F238E27FC236}">
                <a16:creationId xmlns="" xmlns:a16="http://schemas.microsoft.com/office/drawing/2014/main" id="{00000000-0008-0000-0100-0000F7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15</xdr:row>
      <xdr:rowOff>76200</xdr:rowOff>
    </xdr:from>
    <xdr:to>
      <xdr:col>18</xdr:col>
      <xdr:colOff>0</xdr:colOff>
      <xdr:row>16</xdr:row>
      <xdr:rowOff>190500</xdr:rowOff>
    </xdr:to>
    <xdr:grpSp>
      <xdr:nvGrpSpPr>
        <xdr:cNvPr id="122" name="グループ化 121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GrpSpPr/>
      </xdr:nvGrpSpPr>
      <xdr:grpSpPr>
        <a:xfrm>
          <a:off x="5197929" y="4103914"/>
          <a:ext cx="625928" cy="372836"/>
          <a:chOff x="5076825" y="1771650"/>
          <a:chExt cx="628650" cy="371475"/>
        </a:xfrm>
      </xdr:grpSpPr>
      <xdr:sp macro="" textlink="">
        <xdr:nvSpPr>
          <xdr:cNvPr id="123" name="AutoShape 208">
            <a:extLst>
              <a:ext uri="{FF2B5EF4-FFF2-40B4-BE49-F238E27FC236}">
                <a16:creationId xmlns=""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24" name="直線コネクタ 123">
            <a:extLst>
              <a:ext uri="{FF2B5EF4-FFF2-40B4-BE49-F238E27FC236}">
                <a16:creationId xmlns="" xmlns:a16="http://schemas.microsoft.com/office/drawing/2014/main" id="{00000000-0008-0000-0100-00002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25" name="直線コネクタ 124">
            <a:extLst>
              <a:ext uri="{FF2B5EF4-FFF2-40B4-BE49-F238E27FC236}">
                <a16:creationId xmlns="" xmlns:a16="http://schemas.microsoft.com/office/drawing/2014/main" id="{00000000-0008-0000-0100-00002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15</xdr:row>
      <xdr:rowOff>76200</xdr:rowOff>
    </xdr:from>
    <xdr:to>
      <xdr:col>35</xdr:col>
      <xdr:colOff>0</xdr:colOff>
      <xdr:row>16</xdr:row>
      <xdr:rowOff>190500</xdr:rowOff>
    </xdr:to>
    <xdr:grpSp>
      <xdr:nvGrpSpPr>
        <xdr:cNvPr id="126" name="グループ化 125">
          <a:extLst>
            <a:ext uri="{FF2B5EF4-FFF2-40B4-BE49-F238E27FC236}">
              <a16:creationId xmlns="" xmlns:a16="http://schemas.microsoft.com/office/drawing/2014/main" id="{00000000-0008-0000-0100-0000EC000000}"/>
            </a:ext>
          </a:extLst>
        </xdr:cNvPr>
        <xdr:cNvGrpSpPr/>
      </xdr:nvGrpSpPr>
      <xdr:grpSpPr>
        <a:xfrm>
          <a:off x="10042071" y="4103914"/>
          <a:ext cx="625929" cy="372836"/>
          <a:chOff x="5076825" y="1771650"/>
          <a:chExt cx="628650" cy="371475"/>
        </a:xfrm>
      </xdr:grpSpPr>
      <xdr:sp macro="" textlink="">
        <xdr:nvSpPr>
          <xdr:cNvPr id="127" name="AutoShape 208">
            <a:extLst>
              <a:ext uri="{FF2B5EF4-FFF2-40B4-BE49-F238E27FC236}">
                <a16:creationId xmlns="" xmlns:a16="http://schemas.microsoft.com/office/drawing/2014/main" id="{00000000-0008-0000-0100-0000E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28" name="直線コネクタ 127">
            <a:extLst>
              <a:ext uri="{FF2B5EF4-FFF2-40B4-BE49-F238E27FC236}">
                <a16:creationId xmlns="" xmlns:a16="http://schemas.microsoft.com/office/drawing/2014/main" id="{00000000-0008-0000-0100-0000E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29" name="直線コネクタ 128">
            <a:extLst>
              <a:ext uri="{FF2B5EF4-FFF2-40B4-BE49-F238E27FC236}">
                <a16:creationId xmlns="" xmlns:a16="http://schemas.microsoft.com/office/drawing/2014/main" id="{00000000-0008-0000-0100-0000E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39</xdr:row>
      <xdr:rowOff>76200</xdr:rowOff>
    </xdr:from>
    <xdr:to>
      <xdr:col>18</xdr:col>
      <xdr:colOff>0</xdr:colOff>
      <xdr:row>40</xdr:row>
      <xdr:rowOff>190500</xdr:rowOff>
    </xdr:to>
    <xdr:grpSp>
      <xdr:nvGrpSpPr>
        <xdr:cNvPr id="130" name="グループ化 129"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GrpSpPr/>
      </xdr:nvGrpSpPr>
      <xdr:grpSpPr>
        <a:xfrm>
          <a:off x="5197929" y="10594521"/>
          <a:ext cx="625928" cy="372836"/>
          <a:chOff x="5076825" y="1771650"/>
          <a:chExt cx="628650" cy="371475"/>
        </a:xfrm>
      </xdr:grpSpPr>
      <xdr:sp macro="" textlink="">
        <xdr:nvSpPr>
          <xdr:cNvPr id="131" name="AutoShape 208">
            <a:extLst>
              <a:ext uri="{FF2B5EF4-FFF2-40B4-BE49-F238E27FC236}">
                <a16:creationId xmlns="" xmlns:a16="http://schemas.microsoft.com/office/drawing/2014/main" id="{00000000-0008-0000-0100-000059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32" name="直線コネクタ 131">
            <a:extLst>
              <a:ext uri="{FF2B5EF4-FFF2-40B4-BE49-F238E27FC236}">
                <a16:creationId xmlns="" xmlns:a16="http://schemas.microsoft.com/office/drawing/2014/main" id="{00000000-0008-0000-0100-00005A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33" name="直線コネクタ 132">
            <a:extLst>
              <a:ext uri="{FF2B5EF4-FFF2-40B4-BE49-F238E27FC236}">
                <a16:creationId xmlns="" xmlns:a16="http://schemas.microsoft.com/office/drawing/2014/main" id="{00000000-0008-0000-0100-00005B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39</xdr:row>
      <xdr:rowOff>76200</xdr:rowOff>
    </xdr:from>
    <xdr:to>
      <xdr:col>35</xdr:col>
      <xdr:colOff>0</xdr:colOff>
      <xdr:row>40</xdr:row>
      <xdr:rowOff>190500</xdr:rowOff>
    </xdr:to>
    <xdr:grpSp>
      <xdr:nvGrpSpPr>
        <xdr:cNvPr id="134" name="グループ化 133">
          <a:extLst>
            <a:ext uri="{FF2B5EF4-FFF2-40B4-BE49-F238E27FC236}">
              <a16:creationId xmlns="" xmlns:a16="http://schemas.microsoft.com/office/drawing/2014/main" id="{00000000-0008-0000-0100-0000AC000000}"/>
            </a:ext>
          </a:extLst>
        </xdr:cNvPr>
        <xdr:cNvGrpSpPr/>
      </xdr:nvGrpSpPr>
      <xdr:grpSpPr>
        <a:xfrm>
          <a:off x="10042071" y="10594521"/>
          <a:ext cx="625929" cy="372836"/>
          <a:chOff x="5076825" y="1771650"/>
          <a:chExt cx="628650" cy="371475"/>
        </a:xfrm>
      </xdr:grpSpPr>
      <xdr:sp macro="" textlink="">
        <xdr:nvSpPr>
          <xdr:cNvPr id="135" name="AutoShape 208">
            <a:extLst>
              <a:ext uri="{FF2B5EF4-FFF2-40B4-BE49-F238E27FC236}">
                <a16:creationId xmlns="" xmlns:a16="http://schemas.microsoft.com/office/drawing/2014/main" id="{00000000-0008-0000-0100-0000A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36" name="直線コネクタ 135">
            <a:extLst>
              <a:ext uri="{FF2B5EF4-FFF2-40B4-BE49-F238E27FC236}">
                <a16:creationId xmlns="" xmlns:a16="http://schemas.microsoft.com/office/drawing/2014/main" id="{00000000-0008-0000-0100-0000A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37" name="直線コネクタ 136">
            <a:extLst>
              <a:ext uri="{FF2B5EF4-FFF2-40B4-BE49-F238E27FC236}">
                <a16:creationId xmlns="" xmlns:a16="http://schemas.microsoft.com/office/drawing/2014/main" id="{00000000-0008-0000-0100-0000A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46</xdr:row>
      <xdr:rowOff>76200</xdr:rowOff>
    </xdr:from>
    <xdr:to>
      <xdr:col>18</xdr:col>
      <xdr:colOff>0</xdr:colOff>
      <xdr:row>47</xdr:row>
      <xdr:rowOff>190500</xdr:rowOff>
    </xdr:to>
    <xdr:grpSp>
      <xdr:nvGrpSpPr>
        <xdr:cNvPr id="138" name="グループ化 137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GrpSpPr/>
      </xdr:nvGrpSpPr>
      <xdr:grpSpPr>
        <a:xfrm>
          <a:off x="5197929" y="12567557"/>
          <a:ext cx="625928" cy="372836"/>
          <a:chOff x="5076825" y="1771650"/>
          <a:chExt cx="628650" cy="371475"/>
        </a:xfrm>
      </xdr:grpSpPr>
      <xdr:sp macro="" textlink="">
        <xdr:nvSpPr>
          <xdr:cNvPr id="139" name="AutoShape 208">
            <a:extLst>
              <a:ext uri="{FF2B5EF4-FFF2-40B4-BE49-F238E27FC236}">
                <a16:creationId xmlns:a16="http://schemas.microsoft.com/office/drawing/2014/main" xmlns="" id="{00000000-0008-0000-0100-000061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40" name="直線コネクタ 139">
            <a:extLst>
              <a:ext uri="{FF2B5EF4-FFF2-40B4-BE49-F238E27FC236}">
                <a16:creationId xmlns:a16="http://schemas.microsoft.com/office/drawing/2014/main" xmlns="" id="{00000000-0008-0000-0100-000062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41" name="直線コネクタ 140">
            <a:extLst>
              <a:ext uri="{FF2B5EF4-FFF2-40B4-BE49-F238E27FC236}">
                <a16:creationId xmlns:a16="http://schemas.microsoft.com/office/drawing/2014/main" xmlns="" id="{00000000-0008-0000-0100-000063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51</xdr:row>
      <xdr:rowOff>76200</xdr:rowOff>
    </xdr:from>
    <xdr:to>
      <xdr:col>18</xdr:col>
      <xdr:colOff>0</xdr:colOff>
      <xdr:row>52</xdr:row>
      <xdr:rowOff>190500</xdr:rowOff>
    </xdr:to>
    <xdr:grpSp>
      <xdr:nvGrpSpPr>
        <xdr:cNvPr id="142" name="グループ化 141">
          <a:extLst>
            <a:ext uri="{FF2B5EF4-FFF2-40B4-BE49-F238E27FC236}">
              <a16:creationId xmlns:a16="http://schemas.microsoft.com/office/drawing/2014/main" xmlns="" id="{00000000-0008-0000-0100-000068000000}"/>
            </a:ext>
          </a:extLst>
        </xdr:cNvPr>
        <xdr:cNvGrpSpPr/>
      </xdr:nvGrpSpPr>
      <xdr:grpSpPr>
        <a:xfrm>
          <a:off x="5197929" y="13601700"/>
          <a:ext cx="625928" cy="372836"/>
          <a:chOff x="5076825" y="1771650"/>
          <a:chExt cx="628650" cy="371475"/>
        </a:xfrm>
      </xdr:grpSpPr>
      <xdr:sp macro="" textlink="">
        <xdr:nvSpPr>
          <xdr:cNvPr id="143" name="AutoShape 208">
            <a:extLst>
              <a:ext uri="{FF2B5EF4-FFF2-40B4-BE49-F238E27FC236}">
                <a16:creationId xmlns:a16="http://schemas.microsoft.com/office/drawing/2014/main" xmlns="" id="{00000000-0008-0000-0100-000069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44" name="直線コネクタ 143">
            <a:extLst>
              <a:ext uri="{FF2B5EF4-FFF2-40B4-BE49-F238E27FC236}">
                <a16:creationId xmlns:a16="http://schemas.microsoft.com/office/drawing/2014/main" xmlns="" id="{00000000-0008-0000-0100-00006A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45" name="直線コネクタ 144">
            <a:extLst>
              <a:ext uri="{FF2B5EF4-FFF2-40B4-BE49-F238E27FC236}">
                <a16:creationId xmlns:a16="http://schemas.microsoft.com/office/drawing/2014/main" xmlns="" id="{00000000-0008-0000-0100-00006B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56</xdr:row>
      <xdr:rowOff>76200</xdr:rowOff>
    </xdr:from>
    <xdr:to>
      <xdr:col>18</xdr:col>
      <xdr:colOff>0</xdr:colOff>
      <xdr:row>57</xdr:row>
      <xdr:rowOff>190500</xdr:rowOff>
    </xdr:to>
    <xdr:grpSp>
      <xdr:nvGrpSpPr>
        <xdr:cNvPr id="146" name="グループ化 145">
          <a:extLst>
            <a:ext uri="{FF2B5EF4-FFF2-40B4-BE49-F238E27FC236}">
              <a16:creationId xmlns:a16="http://schemas.microsoft.com/office/drawing/2014/main" xmlns="" id="{00000000-0008-0000-0100-00006C000000}"/>
            </a:ext>
          </a:extLst>
        </xdr:cNvPr>
        <xdr:cNvGrpSpPr/>
      </xdr:nvGrpSpPr>
      <xdr:grpSpPr>
        <a:xfrm>
          <a:off x="5197929" y="14635843"/>
          <a:ext cx="625928" cy="372836"/>
          <a:chOff x="5076825" y="1771650"/>
          <a:chExt cx="628650" cy="371475"/>
        </a:xfrm>
      </xdr:grpSpPr>
      <xdr:sp macro="" textlink="">
        <xdr:nvSpPr>
          <xdr:cNvPr id="147" name="AutoShape 208">
            <a:extLst>
              <a:ext uri="{FF2B5EF4-FFF2-40B4-BE49-F238E27FC236}">
                <a16:creationId xmlns:a16="http://schemas.microsoft.com/office/drawing/2014/main" xmlns="" id="{00000000-0008-0000-0100-00006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48" name="直線コネクタ 147">
            <a:extLst>
              <a:ext uri="{FF2B5EF4-FFF2-40B4-BE49-F238E27FC236}">
                <a16:creationId xmlns:a16="http://schemas.microsoft.com/office/drawing/2014/main" xmlns="" id="{00000000-0008-0000-0100-00006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49" name="直線コネクタ 148">
            <a:extLst>
              <a:ext uri="{FF2B5EF4-FFF2-40B4-BE49-F238E27FC236}">
                <a16:creationId xmlns:a16="http://schemas.microsoft.com/office/drawing/2014/main" xmlns="" id="{00000000-0008-0000-0100-00006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61</xdr:row>
      <xdr:rowOff>76200</xdr:rowOff>
    </xdr:from>
    <xdr:to>
      <xdr:col>18</xdr:col>
      <xdr:colOff>0</xdr:colOff>
      <xdr:row>62</xdr:row>
      <xdr:rowOff>190500</xdr:rowOff>
    </xdr:to>
    <xdr:grpSp>
      <xdr:nvGrpSpPr>
        <xdr:cNvPr id="150" name="グループ化 149">
          <a:extLst>
            <a:ext uri="{FF2B5EF4-FFF2-40B4-BE49-F238E27FC236}">
              <a16:creationId xmlns:a16="http://schemas.microsoft.com/office/drawing/2014/main" xmlns="" id="{00000000-0008-0000-0100-000070000000}"/>
            </a:ext>
          </a:extLst>
        </xdr:cNvPr>
        <xdr:cNvGrpSpPr/>
      </xdr:nvGrpSpPr>
      <xdr:grpSpPr>
        <a:xfrm>
          <a:off x="5197929" y="15669986"/>
          <a:ext cx="625928" cy="372835"/>
          <a:chOff x="5076825" y="1771650"/>
          <a:chExt cx="628650" cy="371475"/>
        </a:xfrm>
      </xdr:grpSpPr>
      <xdr:sp macro="" textlink="">
        <xdr:nvSpPr>
          <xdr:cNvPr id="151" name="AutoShape 208">
            <a:extLst>
              <a:ext uri="{FF2B5EF4-FFF2-40B4-BE49-F238E27FC236}">
                <a16:creationId xmlns:a16="http://schemas.microsoft.com/office/drawing/2014/main" xmlns="" id="{00000000-0008-0000-0100-000071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52" name="直線コネクタ 151">
            <a:extLst>
              <a:ext uri="{FF2B5EF4-FFF2-40B4-BE49-F238E27FC236}">
                <a16:creationId xmlns:a16="http://schemas.microsoft.com/office/drawing/2014/main" xmlns="" id="{00000000-0008-0000-0100-000072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53" name="直線コネクタ 152">
            <a:extLst>
              <a:ext uri="{FF2B5EF4-FFF2-40B4-BE49-F238E27FC236}">
                <a16:creationId xmlns:a16="http://schemas.microsoft.com/office/drawing/2014/main" xmlns="" id="{00000000-0008-0000-0100-000073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61</xdr:row>
      <xdr:rowOff>76200</xdr:rowOff>
    </xdr:from>
    <xdr:to>
      <xdr:col>35</xdr:col>
      <xdr:colOff>0</xdr:colOff>
      <xdr:row>62</xdr:row>
      <xdr:rowOff>190500</xdr:rowOff>
    </xdr:to>
    <xdr:grpSp>
      <xdr:nvGrpSpPr>
        <xdr:cNvPr id="154" name="グループ化 153">
          <a:extLst>
            <a:ext uri="{FF2B5EF4-FFF2-40B4-BE49-F238E27FC236}">
              <a16:creationId xmlns:a16="http://schemas.microsoft.com/office/drawing/2014/main" xmlns="" id="{00000000-0008-0000-0100-000090000000}"/>
            </a:ext>
          </a:extLst>
        </xdr:cNvPr>
        <xdr:cNvGrpSpPr/>
      </xdr:nvGrpSpPr>
      <xdr:grpSpPr>
        <a:xfrm>
          <a:off x="10042071" y="15669986"/>
          <a:ext cx="625929" cy="372835"/>
          <a:chOff x="5076825" y="1771650"/>
          <a:chExt cx="628650" cy="371475"/>
        </a:xfrm>
      </xdr:grpSpPr>
      <xdr:sp macro="" textlink="">
        <xdr:nvSpPr>
          <xdr:cNvPr id="155" name="AutoShape 208">
            <a:extLst>
              <a:ext uri="{FF2B5EF4-FFF2-40B4-BE49-F238E27FC236}">
                <a16:creationId xmlns:a16="http://schemas.microsoft.com/office/drawing/2014/main" xmlns="" id="{00000000-0008-0000-0100-000091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56" name="直線コネクタ 155">
            <a:extLst>
              <a:ext uri="{FF2B5EF4-FFF2-40B4-BE49-F238E27FC236}">
                <a16:creationId xmlns:a16="http://schemas.microsoft.com/office/drawing/2014/main" xmlns="" id="{00000000-0008-0000-0100-000092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57" name="直線コネクタ 156">
            <a:extLst>
              <a:ext uri="{FF2B5EF4-FFF2-40B4-BE49-F238E27FC236}">
                <a16:creationId xmlns:a16="http://schemas.microsoft.com/office/drawing/2014/main" xmlns="" id="{00000000-0008-0000-0100-000093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56</xdr:row>
      <xdr:rowOff>76200</xdr:rowOff>
    </xdr:from>
    <xdr:to>
      <xdr:col>35</xdr:col>
      <xdr:colOff>0</xdr:colOff>
      <xdr:row>57</xdr:row>
      <xdr:rowOff>190500</xdr:rowOff>
    </xdr:to>
    <xdr:grpSp>
      <xdr:nvGrpSpPr>
        <xdr:cNvPr id="158" name="グループ化 157">
          <a:extLst>
            <a:ext uri="{FF2B5EF4-FFF2-40B4-BE49-F238E27FC236}">
              <a16:creationId xmlns:a16="http://schemas.microsoft.com/office/drawing/2014/main" xmlns="" id="{00000000-0008-0000-0100-000098000000}"/>
            </a:ext>
          </a:extLst>
        </xdr:cNvPr>
        <xdr:cNvGrpSpPr/>
      </xdr:nvGrpSpPr>
      <xdr:grpSpPr>
        <a:xfrm>
          <a:off x="10042071" y="14635843"/>
          <a:ext cx="625929" cy="372836"/>
          <a:chOff x="5076825" y="1771650"/>
          <a:chExt cx="628650" cy="371475"/>
        </a:xfrm>
      </xdr:grpSpPr>
      <xdr:sp macro="" textlink="">
        <xdr:nvSpPr>
          <xdr:cNvPr id="159" name="AutoShape 208">
            <a:extLst>
              <a:ext uri="{FF2B5EF4-FFF2-40B4-BE49-F238E27FC236}">
                <a16:creationId xmlns:a16="http://schemas.microsoft.com/office/drawing/2014/main" xmlns="" id="{00000000-0008-0000-0100-000099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60" name="直線コネクタ 159">
            <a:extLst>
              <a:ext uri="{FF2B5EF4-FFF2-40B4-BE49-F238E27FC236}">
                <a16:creationId xmlns:a16="http://schemas.microsoft.com/office/drawing/2014/main" xmlns="" id="{00000000-0008-0000-0100-00009A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61" name="直線コネクタ 160">
            <a:extLst>
              <a:ext uri="{FF2B5EF4-FFF2-40B4-BE49-F238E27FC236}">
                <a16:creationId xmlns:a16="http://schemas.microsoft.com/office/drawing/2014/main" xmlns="" id="{00000000-0008-0000-0100-00009B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51</xdr:row>
      <xdr:rowOff>76200</xdr:rowOff>
    </xdr:from>
    <xdr:to>
      <xdr:col>35</xdr:col>
      <xdr:colOff>0</xdr:colOff>
      <xdr:row>52</xdr:row>
      <xdr:rowOff>190500</xdr:rowOff>
    </xdr:to>
    <xdr:grpSp>
      <xdr:nvGrpSpPr>
        <xdr:cNvPr id="162" name="グループ化 161">
          <a:extLst>
            <a:ext uri="{FF2B5EF4-FFF2-40B4-BE49-F238E27FC236}">
              <a16:creationId xmlns:a16="http://schemas.microsoft.com/office/drawing/2014/main" xmlns="" id="{00000000-0008-0000-0100-0000A0000000}"/>
            </a:ext>
          </a:extLst>
        </xdr:cNvPr>
        <xdr:cNvGrpSpPr/>
      </xdr:nvGrpSpPr>
      <xdr:grpSpPr>
        <a:xfrm>
          <a:off x="10042071" y="13601700"/>
          <a:ext cx="625929" cy="372836"/>
          <a:chOff x="5076825" y="1771650"/>
          <a:chExt cx="628650" cy="371475"/>
        </a:xfrm>
      </xdr:grpSpPr>
      <xdr:sp macro="" textlink="">
        <xdr:nvSpPr>
          <xdr:cNvPr id="163" name="AutoShape 208">
            <a:extLst>
              <a:ext uri="{FF2B5EF4-FFF2-40B4-BE49-F238E27FC236}">
                <a16:creationId xmlns:a16="http://schemas.microsoft.com/office/drawing/2014/main" xmlns="" id="{00000000-0008-0000-0100-0000A1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64" name="直線コネクタ 163">
            <a:extLst>
              <a:ext uri="{FF2B5EF4-FFF2-40B4-BE49-F238E27FC236}">
                <a16:creationId xmlns:a16="http://schemas.microsoft.com/office/drawing/2014/main" xmlns="" id="{00000000-0008-0000-0100-0000A2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65" name="直線コネクタ 164">
            <a:extLst>
              <a:ext uri="{FF2B5EF4-FFF2-40B4-BE49-F238E27FC236}">
                <a16:creationId xmlns:a16="http://schemas.microsoft.com/office/drawing/2014/main" xmlns="" id="{00000000-0008-0000-0100-0000A3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46</xdr:row>
      <xdr:rowOff>76200</xdr:rowOff>
    </xdr:from>
    <xdr:to>
      <xdr:col>35</xdr:col>
      <xdr:colOff>0</xdr:colOff>
      <xdr:row>47</xdr:row>
      <xdr:rowOff>190500</xdr:rowOff>
    </xdr:to>
    <xdr:grpSp>
      <xdr:nvGrpSpPr>
        <xdr:cNvPr id="166" name="グループ化 165">
          <a:extLst>
            <a:ext uri="{FF2B5EF4-FFF2-40B4-BE49-F238E27FC236}">
              <a16:creationId xmlns:a16="http://schemas.microsoft.com/office/drawing/2014/main" xmlns="" id="{00000000-0008-0000-0100-0000A4000000}"/>
            </a:ext>
          </a:extLst>
        </xdr:cNvPr>
        <xdr:cNvGrpSpPr/>
      </xdr:nvGrpSpPr>
      <xdr:grpSpPr>
        <a:xfrm>
          <a:off x="10042071" y="12567557"/>
          <a:ext cx="625929" cy="372836"/>
          <a:chOff x="5076825" y="1771650"/>
          <a:chExt cx="628650" cy="371475"/>
        </a:xfrm>
      </xdr:grpSpPr>
      <xdr:sp macro="" textlink="">
        <xdr:nvSpPr>
          <xdr:cNvPr id="167" name="AutoShape 208">
            <a:extLst>
              <a:ext uri="{FF2B5EF4-FFF2-40B4-BE49-F238E27FC236}">
                <a16:creationId xmlns:a16="http://schemas.microsoft.com/office/drawing/2014/main" xmlns="" id="{00000000-0008-0000-0100-0000A5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68" name="直線コネクタ 167">
            <a:extLst>
              <a:ext uri="{FF2B5EF4-FFF2-40B4-BE49-F238E27FC236}">
                <a16:creationId xmlns:a16="http://schemas.microsoft.com/office/drawing/2014/main" xmlns="" id="{00000000-0008-0000-0100-0000A6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69" name="直線コネクタ 168">
            <a:extLst>
              <a:ext uri="{FF2B5EF4-FFF2-40B4-BE49-F238E27FC236}">
                <a16:creationId xmlns:a16="http://schemas.microsoft.com/office/drawing/2014/main" xmlns="" id="{00000000-0008-0000-0100-0000A7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67</xdr:row>
      <xdr:rowOff>76200</xdr:rowOff>
    </xdr:from>
    <xdr:to>
      <xdr:col>18</xdr:col>
      <xdr:colOff>0</xdr:colOff>
      <xdr:row>68</xdr:row>
      <xdr:rowOff>190500</xdr:rowOff>
    </xdr:to>
    <xdr:grpSp>
      <xdr:nvGrpSpPr>
        <xdr:cNvPr id="170" name="グループ化 169">
          <a:extLst>
            <a:ext uri="{FF2B5EF4-FFF2-40B4-BE49-F238E27FC236}">
              <a16:creationId xmlns:a16="http://schemas.microsoft.com/office/drawing/2014/main" xmlns="" id="{00000000-0008-0000-0100-000078000000}"/>
            </a:ext>
          </a:extLst>
        </xdr:cNvPr>
        <xdr:cNvGrpSpPr/>
      </xdr:nvGrpSpPr>
      <xdr:grpSpPr>
        <a:xfrm>
          <a:off x="5197929" y="17044307"/>
          <a:ext cx="625928" cy="372836"/>
          <a:chOff x="5076825" y="1771650"/>
          <a:chExt cx="628650" cy="371475"/>
        </a:xfrm>
      </xdr:grpSpPr>
      <xdr:sp macro="" textlink="">
        <xdr:nvSpPr>
          <xdr:cNvPr id="171" name="AutoShape 208">
            <a:extLst>
              <a:ext uri="{FF2B5EF4-FFF2-40B4-BE49-F238E27FC236}">
                <a16:creationId xmlns:a16="http://schemas.microsoft.com/office/drawing/2014/main" xmlns="" id="{00000000-0008-0000-0100-000079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72" name="直線コネクタ 171">
            <a:extLst>
              <a:ext uri="{FF2B5EF4-FFF2-40B4-BE49-F238E27FC236}">
                <a16:creationId xmlns:a16="http://schemas.microsoft.com/office/drawing/2014/main" xmlns="" id="{00000000-0008-0000-0100-00007A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73" name="直線コネクタ 172">
            <a:extLst>
              <a:ext uri="{FF2B5EF4-FFF2-40B4-BE49-F238E27FC236}">
                <a16:creationId xmlns:a16="http://schemas.microsoft.com/office/drawing/2014/main" xmlns="" id="{00000000-0008-0000-0100-00007B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72</xdr:row>
      <xdr:rowOff>76200</xdr:rowOff>
    </xdr:from>
    <xdr:to>
      <xdr:col>18</xdr:col>
      <xdr:colOff>0</xdr:colOff>
      <xdr:row>73</xdr:row>
      <xdr:rowOff>190500</xdr:rowOff>
    </xdr:to>
    <xdr:grpSp>
      <xdr:nvGrpSpPr>
        <xdr:cNvPr id="174" name="グループ化 173">
          <a:extLst>
            <a:ext uri="{FF2B5EF4-FFF2-40B4-BE49-F238E27FC236}">
              <a16:creationId xmlns:a16="http://schemas.microsoft.com/office/drawing/2014/main" xmlns="" id="{00000000-0008-0000-0100-000080000000}"/>
            </a:ext>
          </a:extLst>
        </xdr:cNvPr>
        <xdr:cNvGrpSpPr/>
      </xdr:nvGrpSpPr>
      <xdr:grpSpPr>
        <a:xfrm>
          <a:off x="5197929" y="18078450"/>
          <a:ext cx="625928" cy="372836"/>
          <a:chOff x="5076825" y="1771650"/>
          <a:chExt cx="628650" cy="371475"/>
        </a:xfrm>
      </xdr:grpSpPr>
      <xdr:sp macro="" textlink="">
        <xdr:nvSpPr>
          <xdr:cNvPr id="175" name="AutoShape 208">
            <a:extLst>
              <a:ext uri="{FF2B5EF4-FFF2-40B4-BE49-F238E27FC236}">
                <a16:creationId xmlns:a16="http://schemas.microsoft.com/office/drawing/2014/main" xmlns="" id="{00000000-0008-0000-0100-000081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76" name="直線コネクタ 175">
            <a:extLst>
              <a:ext uri="{FF2B5EF4-FFF2-40B4-BE49-F238E27FC236}">
                <a16:creationId xmlns:a16="http://schemas.microsoft.com/office/drawing/2014/main" xmlns="" id="{00000000-0008-0000-0100-000082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77" name="直線コネクタ 176">
            <a:extLst>
              <a:ext uri="{FF2B5EF4-FFF2-40B4-BE49-F238E27FC236}">
                <a16:creationId xmlns:a16="http://schemas.microsoft.com/office/drawing/2014/main" xmlns="" id="{00000000-0008-0000-0100-000083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72</xdr:row>
      <xdr:rowOff>76200</xdr:rowOff>
    </xdr:from>
    <xdr:to>
      <xdr:col>35</xdr:col>
      <xdr:colOff>0</xdr:colOff>
      <xdr:row>73</xdr:row>
      <xdr:rowOff>190500</xdr:rowOff>
    </xdr:to>
    <xdr:grpSp>
      <xdr:nvGrpSpPr>
        <xdr:cNvPr id="178" name="グループ化 177">
          <a:extLst>
            <a:ext uri="{FF2B5EF4-FFF2-40B4-BE49-F238E27FC236}">
              <a16:creationId xmlns:a16="http://schemas.microsoft.com/office/drawing/2014/main" xmlns="" id="{00000000-0008-0000-0100-000088000000}"/>
            </a:ext>
          </a:extLst>
        </xdr:cNvPr>
        <xdr:cNvGrpSpPr/>
      </xdr:nvGrpSpPr>
      <xdr:grpSpPr>
        <a:xfrm>
          <a:off x="10042071" y="18078450"/>
          <a:ext cx="625929" cy="372836"/>
          <a:chOff x="5076825" y="1771650"/>
          <a:chExt cx="628650" cy="371475"/>
        </a:xfrm>
      </xdr:grpSpPr>
      <xdr:sp macro="" textlink="">
        <xdr:nvSpPr>
          <xdr:cNvPr id="179" name="AutoShape 208">
            <a:extLst>
              <a:ext uri="{FF2B5EF4-FFF2-40B4-BE49-F238E27FC236}">
                <a16:creationId xmlns:a16="http://schemas.microsoft.com/office/drawing/2014/main" xmlns="" id="{00000000-0008-0000-0100-000089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80" name="直線コネクタ 179">
            <a:extLst>
              <a:ext uri="{FF2B5EF4-FFF2-40B4-BE49-F238E27FC236}">
                <a16:creationId xmlns:a16="http://schemas.microsoft.com/office/drawing/2014/main" xmlns="" id="{00000000-0008-0000-0100-00008A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81" name="直線コネクタ 180">
            <a:extLst>
              <a:ext uri="{FF2B5EF4-FFF2-40B4-BE49-F238E27FC236}">
                <a16:creationId xmlns:a16="http://schemas.microsoft.com/office/drawing/2014/main" xmlns="" id="{00000000-0008-0000-0100-00008B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67</xdr:row>
      <xdr:rowOff>76200</xdr:rowOff>
    </xdr:from>
    <xdr:to>
      <xdr:col>35</xdr:col>
      <xdr:colOff>0</xdr:colOff>
      <xdr:row>68</xdr:row>
      <xdr:rowOff>190500</xdr:rowOff>
    </xdr:to>
    <xdr:grpSp>
      <xdr:nvGrpSpPr>
        <xdr:cNvPr id="182" name="グループ化 181">
          <a:extLst>
            <a:ext uri="{FF2B5EF4-FFF2-40B4-BE49-F238E27FC236}">
              <a16:creationId xmlns:a16="http://schemas.microsoft.com/office/drawing/2014/main" xmlns="" id="{00000000-0008-0000-0100-00008C000000}"/>
            </a:ext>
          </a:extLst>
        </xdr:cNvPr>
        <xdr:cNvGrpSpPr/>
      </xdr:nvGrpSpPr>
      <xdr:grpSpPr>
        <a:xfrm>
          <a:off x="10042071" y="17044307"/>
          <a:ext cx="625929" cy="372836"/>
          <a:chOff x="5076825" y="1771650"/>
          <a:chExt cx="628650" cy="371475"/>
        </a:xfrm>
      </xdr:grpSpPr>
      <xdr:sp macro="" textlink="">
        <xdr:nvSpPr>
          <xdr:cNvPr id="183" name="AutoShape 208">
            <a:extLst>
              <a:ext uri="{FF2B5EF4-FFF2-40B4-BE49-F238E27FC236}">
                <a16:creationId xmlns:a16="http://schemas.microsoft.com/office/drawing/2014/main" xmlns="" id="{00000000-0008-0000-0100-00008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84" name="直線コネクタ 183">
            <a:extLst>
              <a:ext uri="{FF2B5EF4-FFF2-40B4-BE49-F238E27FC236}">
                <a16:creationId xmlns:a16="http://schemas.microsoft.com/office/drawing/2014/main" xmlns="" id="{00000000-0008-0000-0100-00008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85" name="直線コネクタ 184">
            <a:extLst>
              <a:ext uri="{FF2B5EF4-FFF2-40B4-BE49-F238E27FC236}">
                <a16:creationId xmlns:a16="http://schemas.microsoft.com/office/drawing/2014/main" xmlns="" id="{00000000-0008-0000-0100-00008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9525</xdr:colOff>
      <xdr:row>12</xdr:row>
      <xdr:rowOff>76200</xdr:rowOff>
    </xdr:from>
    <xdr:to>
      <xdr:col>18</xdr:col>
      <xdr:colOff>9525</xdr:colOff>
      <xdr:row>13</xdr:row>
      <xdr:rowOff>190500</xdr:rowOff>
    </xdr:to>
    <xdr:grpSp>
      <xdr:nvGrpSpPr>
        <xdr:cNvPr id="186" name="グループ化 185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5207454" y="3328307"/>
          <a:ext cx="625928" cy="372836"/>
          <a:chOff x="5076825" y="1771650"/>
          <a:chExt cx="628650" cy="371475"/>
        </a:xfrm>
      </xdr:grpSpPr>
      <xdr:sp macro="" textlink="">
        <xdr:nvSpPr>
          <xdr:cNvPr id="187" name="AutoShape 208">
            <a:extLst>
              <a:ext uri="{FF2B5EF4-FFF2-40B4-BE49-F238E27FC236}">
                <a16:creationId xmlns="" xmlns:a16="http://schemas.microsoft.com/office/drawing/2014/main" id="{00000000-0008-0000-0100-0000A01A01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88" name="直線コネクタ 187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89" name="直線コネクタ 188">
            <a:extLst>
              <a:ext uri="{FF2B5EF4-FFF2-40B4-BE49-F238E27FC236}">
                <a16:creationId xmlns="" xmlns:a16="http://schemas.microsoft.com/office/drawing/2014/main" id="{00000000-0008-0000-0100-000024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12</xdr:row>
      <xdr:rowOff>76200</xdr:rowOff>
    </xdr:from>
    <xdr:to>
      <xdr:col>35</xdr:col>
      <xdr:colOff>0</xdr:colOff>
      <xdr:row>13</xdr:row>
      <xdr:rowOff>190500</xdr:rowOff>
    </xdr:to>
    <xdr:grpSp>
      <xdr:nvGrpSpPr>
        <xdr:cNvPr id="190" name="グループ化 189">
          <a:extLst>
            <a:ext uri="{FF2B5EF4-FFF2-40B4-BE49-F238E27FC236}">
              <a16:creationId xmlns="" xmlns:a16="http://schemas.microsoft.com/office/drawing/2014/main" id="{00000000-0008-0000-0100-0000E4000000}"/>
            </a:ext>
          </a:extLst>
        </xdr:cNvPr>
        <xdr:cNvGrpSpPr/>
      </xdr:nvGrpSpPr>
      <xdr:grpSpPr>
        <a:xfrm>
          <a:off x="10042071" y="3328307"/>
          <a:ext cx="625929" cy="372836"/>
          <a:chOff x="5076825" y="1771650"/>
          <a:chExt cx="628650" cy="371475"/>
        </a:xfrm>
      </xdr:grpSpPr>
      <xdr:sp macro="" textlink="">
        <xdr:nvSpPr>
          <xdr:cNvPr id="191" name="AutoShape 208">
            <a:extLst>
              <a:ext uri="{FF2B5EF4-FFF2-40B4-BE49-F238E27FC236}">
                <a16:creationId xmlns="" xmlns:a16="http://schemas.microsoft.com/office/drawing/2014/main" id="{00000000-0008-0000-0100-0000E5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92" name="直線コネクタ 191">
            <a:extLst>
              <a:ext uri="{FF2B5EF4-FFF2-40B4-BE49-F238E27FC236}">
                <a16:creationId xmlns="" xmlns:a16="http://schemas.microsoft.com/office/drawing/2014/main" id="{00000000-0008-0000-0100-0000E6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93" name="直線コネクタ 192">
            <a:extLst>
              <a:ext uri="{FF2B5EF4-FFF2-40B4-BE49-F238E27FC236}">
                <a16:creationId xmlns="" xmlns:a16="http://schemas.microsoft.com/office/drawing/2014/main" id="{00000000-0008-0000-0100-0000E7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6</xdr:row>
      <xdr:rowOff>76200</xdr:rowOff>
    </xdr:from>
    <xdr:to>
      <xdr:col>18</xdr:col>
      <xdr:colOff>0</xdr:colOff>
      <xdr:row>7</xdr:row>
      <xdr:rowOff>190500</xdr:rowOff>
    </xdr:to>
    <xdr:grpSp>
      <xdr:nvGrpSpPr>
        <xdr:cNvPr id="194" name="グループ化 193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GrpSpPr/>
      </xdr:nvGrpSpPr>
      <xdr:grpSpPr>
        <a:xfrm>
          <a:off x="5197929" y="1777093"/>
          <a:ext cx="625928" cy="372836"/>
          <a:chOff x="5076825" y="1771650"/>
          <a:chExt cx="628650" cy="371475"/>
        </a:xfrm>
      </xdr:grpSpPr>
      <xdr:sp macro="" textlink="">
        <xdr:nvSpPr>
          <xdr:cNvPr id="195" name="AutoShape 208">
            <a:extLst>
              <a:ext uri="{FF2B5EF4-FFF2-40B4-BE49-F238E27FC236}">
                <a16:creationId xmlns=""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96" name="直線コネクタ 195">
            <a:extLst>
              <a:ext uri="{FF2B5EF4-FFF2-40B4-BE49-F238E27FC236}">
                <a16:creationId xmlns="" xmlns:a16="http://schemas.microsoft.com/office/drawing/2014/main" id="{00000000-0008-0000-0100-00002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97" name="直線コネクタ 196">
            <a:extLst>
              <a:ext uri="{FF2B5EF4-FFF2-40B4-BE49-F238E27FC236}">
                <a16:creationId xmlns="" xmlns:a16="http://schemas.microsoft.com/office/drawing/2014/main" id="{00000000-0008-0000-0100-00002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6</xdr:row>
      <xdr:rowOff>76200</xdr:rowOff>
    </xdr:from>
    <xdr:to>
      <xdr:col>35</xdr:col>
      <xdr:colOff>0</xdr:colOff>
      <xdr:row>7</xdr:row>
      <xdr:rowOff>190500</xdr:rowOff>
    </xdr:to>
    <xdr:grpSp>
      <xdr:nvGrpSpPr>
        <xdr:cNvPr id="198" name="グループ化 197">
          <a:extLst>
            <a:ext uri="{FF2B5EF4-FFF2-40B4-BE49-F238E27FC236}">
              <a16:creationId xmlns="" xmlns:a16="http://schemas.microsoft.com/office/drawing/2014/main" id="{00000000-0008-0000-0100-0000EC000000}"/>
            </a:ext>
          </a:extLst>
        </xdr:cNvPr>
        <xdr:cNvGrpSpPr/>
      </xdr:nvGrpSpPr>
      <xdr:grpSpPr>
        <a:xfrm>
          <a:off x="10042071" y="1777093"/>
          <a:ext cx="625929" cy="372836"/>
          <a:chOff x="5076825" y="1771650"/>
          <a:chExt cx="628650" cy="371475"/>
        </a:xfrm>
      </xdr:grpSpPr>
      <xdr:sp macro="" textlink="">
        <xdr:nvSpPr>
          <xdr:cNvPr id="199" name="AutoShape 208">
            <a:extLst>
              <a:ext uri="{FF2B5EF4-FFF2-40B4-BE49-F238E27FC236}">
                <a16:creationId xmlns="" xmlns:a16="http://schemas.microsoft.com/office/drawing/2014/main" id="{00000000-0008-0000-0100-0000E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200" name="直線コネクタ 199">
            <a:extLst>
              <a:ext uri="{FF2B5EF4-FFF2-40B4-BE49-F238E27FC236}">
                <a16:creationId xmlns="" xmlns:a16="http://schemas.microsoft.com/office/drawing/2014/main" id="{00000000-0008-0000-0100-0000E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01" name="直線コネクタ 200">
            <a:extLst>
              <a:ext uri="{FF2B5EF4-FFF2-40B4-BE49-F238E27FC236}">
                <a16:creationId xmlns="" xmlns:a16="http://schemas.microsoft.com/office/drawing/2014/main" id="{00000000-0008-0000-0100-0000E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9525</xdr:colOff>
      <xdr:row>15</xdr:row>
      <xdr:rowOff>76200</xdr:rowOff>
    </xdr:from>
    <xdr:to>
      <xdr:col>18</xdr:col>
      <xdr:colOff>9525</xdr:colOff>
      <xdr:row>16</xdr:row>
      <xdr:rowOff>190500</xdr:rowOff>
    </xdr:to>
    <xdr:grpSp>
      <xdr:nvGrpSpPr>
        <xdr:cNvPr id="202" name="グループ化 201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5207454" y="4103914"/>
          <a:ext cx="625928" cy="372836"/>
          <a:chOff x="5076825" y="1771650"/>
          <a:chExt cx="628650" cy="371475"/>
        </a:xfrm>
      </xdr:grpSpPr>
      <xdr:sp macro="" textlink="">
        <xdr:nvSpPr>
          <xdr:cNvPr id="203" name="AutoShape 208">
            <a:extLst>
              <a:ext uri="{FF2B5EF4-FFF2-40B4-BE49-F238E27FC236}">
                <a16:creationId xmlns="" xmlns:a16="http://schemas.microsoft.com/office/drawing/2014/main" id="{00000000-0008-0000-0100-0000A01A01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204" name="直線コネクタ 203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05" name="直線コネクタ 204">
            <a:extLst>
              <a:ext uri="{FF2B5EF4-FFF2-40B4-BE49-F238E27FC236}">
                <a16:creationId xmlns="" xmlns:a16="http://schemas.microsoft.com/office/drawing/2014/main" id="{00000000-0008-0000-0100-000024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15</xdr:row>
      <xdr:rowOff>76200</xdr:rowOff>
    </xdr:from>
    <xdr:to>
      <xdr:col>35</xdr:col>
      <xdr:colOff>0</xdr:colOff>
      <xdr:row>16</xdr:row>
      <xdr:rowOff>190500</xdr:rowOff>
    </xdr:to>
    <xdr:grpSp>
      <xdr:nvGrpSpPr>
        <xdr:cNvPr id="206" name="グループ化 205">
          <a:extLst>
            <a:ext uri="{FF2B5EF4-FFF2-40B4-BE49-F238E27FC236}">
              <a16:creationId xmlns="" xmlns:a16="http://schemas.microsoft.com/office/drawing/2014/main" id="{00000000-0008-0000-0100-0000E4000000}"/>
            </a:ext>
          </a:extLst>
        </xdr:cNvPr>
        <xdr:cNvGrpSpPr/>
      </xdr:nvGrpSpPr>
      <xdr:grpSpPr>
        <a:xfrm>
          <a:off x="10042071" y="4103914"/>
          <a:ext cx="625929" cy="372836"/>
          <a:chOff x="5076825" y="1771650"/>
          <a:chExt cx="628650" cy="371475"/>
        </a:xfrm>
      </xdr:grpSpPr>
      <xdr:sp macro="" textlink="">
        <xdr:nvSpPr>
          <xdr:cNvPr id="207" name="AutoShape 208">
            <a:extLst>
              <a:ext uri="{FF2B5EF4-FFF2-40B4-BE49-F238E27FC236}">
                <a16:creationId xmlns="" xmlns:a16="http://schemas.microsoft.com/office/drawing/2014/main" id="{00000000-0008-0000-0100-0000E5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208" name="直線コネクタ 207">
            <a:extLst>
              <a:ext uri="{FF2B5EF4-FFF2-40B4-BE49-F238E27FC236}">
                <a16:creationId xmlns="" xmlns:a16="http://schemas.microsoft.com/office/drawing/2014/main" id="{00000000-0008-0000-0100-0000E6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09" name="直線コネクタ 208">
            <a:extLst>
              <a:ext uri="{FF2B5EF4-FFF2-40B4-BE49-F238E27FC236}">
                <a16:creationId xmlns="" xmlns:a16="http://schemas.microsoft.com/office/drawing/2014/main" id="{00000000-0008-0000-0100-0000E7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9525</xdr:colOff>
      <xdr:row>6</xdr:row>
      <xdr:rowOff>76200</xdr:rowOff>
    </xdr:from>
    <xdr:to>
      <xdr:col>35</xdr:col>
      <xdr:colOff>9525</xdr:colOff>
      <xdr:row>7</xdr:row>
      <xdr:rowOff>190500</xdr:rowOff>
    </xdr:to>
    <xdr:grpSp>
      <xdr:nvGrpSpPr>
        <xdr:cNvPr id="210" name="グループ化 209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0051596" y="1777093"/>
          <a:ext cx="625929" cy="372836"/>
          <a:chOff x="5076825" y="1771650"/>
          <a:chExt cx="628650" cy="371475"/>
        </a:xfrm>
      </xdr:grpSpPr>
      <xdr:sp macro="" textlink="">
        <xdr:nvSpPr>
          <xdr:cNvPr id="211" name="AutoShape 208">
            <a:extLst>
              <a:ext uri="{FF2B5EF4-FFF2-40B4-BE49-F238E27FC236}">
                <a16:creationId xmlns="" xmlns:a16="http://schemas.microsoft.com/office/drawing/2014/main" id="{00000000-0008-0000-0100-0000A01A01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212" name="直線コネクタ 211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13" name="直線コネクタ 212">
            <a:extLst>
              <a:ext uri="{FF2B5EF4-FFF2-40B4-BE49-F238E27FC236}">
                <a16:creationId xmlns="" xmlns:a16="http://schemas.microsoft.com/office/drawing/2014/main" id="{00000000-0008-0000-0100-000024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6</xdr:row>
      <xdr:rowOff>76200</xdr:rowOff>
    </xdr:from>
    <xdr:to>
      <xdr:col>35</xdr:col>
      <xdr:colOff>0</xdr:colOff>
      <xdr:row>7</xdr:row>
      <xdr:rowOff>190500</xdr:rowOff>
    </xdr:to>
    <xdr:grpSp>
      <xdr:nvGrpSpPr>
        <xdr:cNvPr id="214" name="グループ化 213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GrpSpPr/>
      </xdr:nvGrpSpPr>
      <xdr:grpSpPr>
        <a:xfrm>
          <a:off x="10042071" y="1777093"/>
          <a:ext cx="625929" cy="372836"/>
          <a:chOff x="5076825" y="1771650"/>
          <a:chExt cx="628650" cy="371475"/>
        </a:xfrm>
      </xdr:grpSpPr>
      <xdr:sp macro="" textlink="">
        <xdr:nvSpPr>
          <xdr:cNvPr id="215" name="AutoShape 208">
            <a:extLst>
              <a:ext uri="{FF2B5EF4-FFF2-40B4-BE49-F238E27FC236}">
                <a16:creationId xmlns=""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216" name="直線コネクタ 215">
            <a:extLst>
              <a:ext uri="{FF2B5EF4-FFF2-40B4-BE49-F238E27FC236}">
                <a16:creationId xmlns="" xmlns:a16="http://schemas.microsoft.com/office/drawing/2014/main" id="{00000000-0008-0000-0100-00002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17" name="直線コネクタ 216">
            <a:extLst>
              <a:ext uri="{FF2B5EF4-FFF2-40B4-BE49-F238E27FC236}">
                <a16:creationId xmlns="" xmlns:a16="http://schemas.microsoft.com/office/drawing/2014/main" id="{00000000-0008-0000-0100-00002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9525</xdr:colOff>
      <xdr:row>9</xdr:row>
      <xdr:rowOff>76200</xdr:rowOff>
    </xdr:from>
    <xdr:to>
      <xdr:col>35</xdr:col>
      <xdr:colOff>9525</xdr:colOff>
      <xdr:row>10</xdr:row>
      <xdr:rowOff>190500</xdr:rowOff>
    </xdr:to>
    <xdr:grpSp>
      <xdr:nvGrpSpPr>
        <xdr:cNvPr id="218" name="グループ化 217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0051596" y="2552700"/>
          <a:ext cx="625929" cy="372836"/>
          <a:chOff x="5076825" y="1771650"/>
          <a:chExt cx="628650" cy="371475"/>
        </a:xfrm>
      </xdr:grpSpPr>
      <xdr:sp macro="" textlink="">
        <xdr:nvSpPr>
          <xdr:cNvPr id="219" name="AutoShape 208">
            <a:extLst>
              <a:ext uri="{FF2B5EF4-FFF2-40B4-BE49-F238E27FC236}">
                <a16:creationId xmlns="" xmlns:a16="http://schemas.microsoft.com/office/drawing/2014/main" id="{00000000-0008-0000-0100-0000A01A01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220" name="直線コネクタ 219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21" name="直線コネクタ 220">
            <a:extLst>
              <a:ext uri="{FF2B5EF4-FFF2-40B4-BE49-F238E27FC236}">
                <a16:creationId xmlns="" xmlns:a16="http://schemas.microsoft.com/office/drawing/2014/main" id="{00000000-0008-0000-0100-000024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9</xdr:row>
      <xdr:rowOff>76200</xdr:rowOff>
    </xdr:from>
    <xdr:to>
      <xdr:col>35</xdr:col>
      <xdr:colOff>0</xdr:colOff>
      <xdr:row>10</xdr:row>
      <xdr:rowOff>190500</xdr:rowOff>
    </xdr:to>
    <xdr:grpSp>
      <xdr:nvGrpSpPr>
        <xdr:cNvPr id="222" name="グループ化 221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GrpSpPr/>
      </xdr:nvGrpSpPr>
      <xdr:grpSpPr>
        <a:xfrm>
          <a:off x="10042071" y="2552700"/>
          <a:ext cx="625929" cy="372836"/>
          <a:chOff x="5076825" y="1771650"/>
          <a:chExt cx="628650" cy="371475"/>
        </a:xfrm>
      </xdr:grpSpPr>
      <xdr:sp macro="" textlink="">
        <xdr:nvSpPr>
          <xdr:cNvPr id="223" name="AutoShape 208">
            <a:extLst>
              <a:ext uri="{FF2B5EF4-FFF2-40B4-BE49-F238E27FC236}">
                <a16:creationId xmlns=""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224" name="直線コネクタ 223">
            <a:extLst>
              <a:ext uri="{FF2B5EF4-FFF2-40B4-BE49-F238E27FC236}">
                <a16:creationId xmlns="" xmlns:a16="http://schemas.microsoft.com/office/drawing/2014/main" id="{00000000-0008-0000-0100-00002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25" name="直線コネクタ 224">
            <a:extLst>
              <a:ext uri="{FF2B5EF4-FFF2-40B4-BE49-F238E27FC236}">
                <a16:creationId xmlns="" xmlns:a16="http://schemas.microsoft.com/office/drawing/2014/main" id="{00000000-0008-0000-0100-00002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9525</xdr:colOff>
      <xdr:row>12</xdr:row>
      <xdr:rowOff>76200</xdr:rowOff>
    </xdr:from>
    <xdr:to>
      <xdr:col>35</xdr:col>
      <xdr:colOff>9525</xdr:colOff>
      <xdr:row>13</xdr:row>
      <xdr:rowOff>190500</xdr:rowOff>
    </xdr:to>
    <xdr:grpSp>
      <xdr:nvGrpSpPr>
        <xdr:cNvPr id="226" name="グループ化 225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0051596" y="3328307"/>
          <a:ext cx="625929" cy="372836"/>
          <a:chOff x="5076825" y="1771650"/>
          <a:chExt cx="628650" cy="371475"/>
        </a:xfrm>
      </xdr:grpSpPr>
      <xdr:sp macro="" textlink="">
        <xdr:nvSpPr>
          <xdr:cNvPr id="227" name="AutoShape 208">
            <a:extLst>
              <a:ext uri="{FF2B5EF4-FFF2-40B4-BE49-F238E27FC236}">
                <a16:creationId xmlns="" xmlns:a16="http://schemas.microsoft.com/office/drawing/2014/main" id="{00000000-0008-0000-0100-0000A01A01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228" name="直線コネクタ 227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29" name="直線コネクタ 228">
            <a:extLst>
              <a:ext uri="{FF2B5EF4-FFF2-40B4-BE49-F238E27FC236}">
                <a16:creationId xmlns="" xmlns:a16="http://schemas.microsoft.com/office/drawing/2014/main" id="{00000000-0008-0000-0100-000024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12</xdr:row>
      <xdr:rowOff>76200</xdr:rowOff>
    </xdr:from>
    <xdr:to>
      <xdr:col>35</xdr:col>
      <xdr:colOff>0</xdr:colOff>
      <xdr:row>13</xdr:row>
      <xdr:rowOff>190500</xdr:rowOff>
    </xdr:to>
    <xdr:grpSp>
      <xdr:nvGrpSpPr>
        <xdr:cNvPr id="230" name="グループ化 229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GrpSpPr/>
      </xdr:nvGrpSpPr>
      <xdr:grpSpPr>
        <a:xfrm>
          <a:off x="10042071" y="3328307"/>
          <a:ext cx="625929" cy="372836"/>
          <a:chOff x="5076825" y="1771650"/>
          <a:chExt cx="628650" cy="371475"/>
        </a:xfrm>
      </xdr:grpSpPr>
      <xdr:sp macro="" textlink="">
        <xdr:nvSpPr>
          <xdr:cNvPr id="231" name="AutoShape 208">
            <a:extLst>
              <a:ext uri="{FF2B5EF4-FFF2-40B4-BE49-F238E27FC236}">
                <a16:creationId xmlns=""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232" name="直線コネクタ 231">
            <a:extLst>
              <a:ext uri="{FF2B5EF4-FFF2-40B4-BE49-F238E27FC236}">
                <a16:creationId xmlns="" xmlns:a16="http://schemas.microsoft.com/office/drawing/2014/main" id="{00000000-0008-0000-0100-00002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33" name="直線コネクタ 232">
            <a:extLst>
              <a:ext uri="{FF2B5EF4-FFF2-40B4-BE49-F238E27FC236}">
                <a16:creationId xmlns="" xmlns:a16="http://schemas.microsoft.com/office/drawing/2014/main" id="{00000000-0008-0000-0100-00002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9525</xdr:colOff>
      <xdr:row>15</xdr:row>
      <xdr:rowOff>76200</xdr:rowOff>
    </xdr:from>
    <xdr:to>
      <xdr:col>35</xdr:col>
      <xdr:colOff>9525</xdr:colOff>
      <xdr:row>16</xdr:row>
      <xdr:rowOff>190500</xdr:rowOff>
    </xdr:to>
    <xdr:grpSp>
      <xdr:nvGrpSpPr>
        <xdr:cNvPr id="234" name="グループ化 23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0051596" y="4103914"/>
          <a:ext cx="625929" cy="372836"/>
          <a:chOff x="5076825" y="1771650"/>
          <a:chExt cx="628650" cy="371475"/>
        </a:xfrm>
      </xdr:grpSpPr>
      <xdr:sp macro="" textlink="">
        <xdr:nvSpPr>
          <xdr:cNvPr id="235" name="AutoShape 208">
            <a:extLst>
              <a:ext uri="{FF2B5EF4-FFF2-40B4-BE49-F238E27FC236}">
                <a16:creationId xmlns="" xmlns:a16="http://schemas.microsoft.com/office/drawing/2014/main" id="{00000000-0008-0000-0100-0000A01A01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236" name="直線コネクタ 235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37" name="直線コネクタ 236">
            <a:extLst>
              <a:ext uri="{FF2B5EF4-FFF2-40B4-BE49-F238E27FC236}">
                <a16:creationId xmlns="" xmlns:a16="http://schemas.microsoft.com/office/drawing/2014/main" id="{00000000-0008-0000-0100-000024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15</xdr:row>
      <xdr:rowOff>76200</xdr:rowOff>
    </xdr:from>
    <xdr:to>
      <xdr:col>35</xdr:col>
      <xdr:colOff>0</xdr:colOff>
      <xdr:row>16</xdr:row>
      <xdr:rowOff>190500</xdr:rowOff>
    </xdr:to>
    <xdr:grpSp>
      <xdr:nvGrpSpPr>
        <xdr:cNvPr id="238" name="グループ化 237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GrpSpPr/>
      </xdr:nvGrpSpPr>
      <xdr:grpSpPr>
        <a:xfrm>
          <a:off x="10042071" y="4103914"/>
          <a:ext cx="625929" cy="372836"/>
          <a:chOff x="5076825" y="1771650"/>
          <a:chExt cx="628650" cy="371475"/>
        </a:xfrm>
      </xdr:grpSpPr>
      <xdr:sp macro="" textlink="">
        <xdr:nvSpPr>
          <xdr:cNvPr id="239" name="AutoShape 208">
            <a:extLst>
              <a:ext uri="{FF2B5EF4-FFF2-40B4-BE49-F238E27FC236}">
                <a16:creationId xmlns=""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240" name="直線コネクタ 239">
            <a:extLst>
              <a:ext uri="{FF2B5EF4-FFF2-40B4-BE49-F238E27FC236}">
                <a16:creationId xmlns="" xmlns:a16="http://schemas.microsoft.com/office/drawing/2014/main" id="{00000000-0008-0000-0100-00002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41" name="直線コネクタ 240">
            <a:extLst>
              <a:ext uri="{FF2B5EF4-FFF2-40B4-BE49-F238E27FC236}">
                <a16:creationId xmlns="" xmlns:a16="http://schemas.microsoft.com/office/drawing/2014/main" id="{00000000-0008-0000-0100-00002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9525</xdr:colOff>
      <xdr:row>15</xdr:row>
      <xdr:rowOff>76200</xdr:rowOff>
    </xdr:from>
    <xdr:to>
      <xdr:col>18</xdr:col>
      <xdr:colOff>9525</xdr:colOff>
      <xdr:row>16</xdr:row>
      <xdr:rowOff>190500</xdr:rowOff>
    </xdr:to>
    <xdr:grpSp>
      <xdr:nvGrpSpPr>
        <xdr:cNvPr id="242" name="グループ化 241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5207454" y="4103914"/>
          <a:ext cx="625928" cy="372836"/>
          <a:chOff x="5076825" y="1771650"/>
          <a:chExt cx="628650" cy="371475"/>
        </a:xfrm>
      </xdr:grpSpPr>
      <xdr:sp macro="" textlink="">
        <xdr:nvSpPr>
          <xdr:cNvPr id="243" name="AutoShape 208">
            <a:extLst>
              <a:ext uri="{FF2B5EF4-FFF2-40B4-BE49-F238E27FC236}">
                <a16:creationId xmlns="" xmlns:a16="http://schemas.microsoft.com/office/drawing/2014/main" id="{00000000-0008-0000-0100-0000A01A01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244" name="直線コネクタ 243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45" name="直線コネクタ 244">
            <a:extLst>
              <a:ext uri="{FF2B5EF4-FFF2-40B4-BE49-F238E27FC236}">
                <a16:creationId xmlns="" xmlns:a16="http://schemas.microsoft.com/office/drawing/2014/main" id="{00000000-0008-0000-0100-000024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15</xdr:row>
      <xdr:rowOff>76200</xdr:rowOff>
    </xdr:from>
    <xdr:to>
      <xdr:col>18</xdr:col>
      <xdr:colOff>0</xdr:colOff>
      <xdr:row>16</xdr:row>
      <xdr:rowOff>190500</xdr:rowOff>
    </xdr:to>
    <xdr:grpSp>
      <xdr:nvGrpSpPr>
        <xdr:cNvPr id="246" name="グループ化 245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GrpSpPr/>
      </xdr:nvGrpSpPr>
      <xdr:grpSpPr>
        <a:xfrm>
          <a:off x="5197929" y="4103914"/>
          <a:ext cx="625928" cy="372836"/>
          <a:chOff x="5076825" y="1771650"/>
          <a:chExt cx="628650" cy="371475"/>
        </a:xfrm>
      </xdr:grpSpPr>
      <xdr:sp macro="" textlink="">
        <xdr:nvSpPr>
          <xdr:cNvPr id="247" name="AutoShape 208">
            <a:extLst>
              <a:ext uri="{FF2B5EF4-FFF2-40B4-BE49-F238E27FC236}">
                <a16:creationId xmlns=""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248" name="直線コネクタ 247">
            <a:extLst>
              <a:ext uri="{FF2B5EF4-FFF2-40B4-BE49-F238E27FC236}">
                <a16:creationId xmlns="" xmlns:a16="http://schemas.microsoft.com/office/drawing/2014/main" id="{00000000-0008-0000-0100-00002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49" name="直線コネクタ 248">
            <a:extLst>
              <a:ext uri="{FF2B5EF4-FFF2-40B4-BE49-F238E27FC236}">
                <a16:creationId xmlns="" xmlns:a16="http://schemas.microsoft.com/office/drawing/2014/main" id="{00000000-0008-0000-0100-00002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9525</xdr:colOff>
      <xdr:row>9</xdr:row>
      <xdr:rowOff>76200</xdr:rowOff>
    </xdr:from>
    <xdr:to>
      <xdr:col>18</xdr:col>
      <xdr:colOff>9525</xdr:colOff>
      <xdr:row>10</xdr:row>
      <xdr:rowOff>190500</xdr:rowOff>
    </xdr:to>
    <xdr:grpSp>
      <xdr:nvGrpSpPr>
        <xdr:cNvPr id="250" name="グループ化 249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5207454" y="2552700"/>
          <a:ext cx="625928" cy="372836"/>
          <a:chOff x="5076825" y="1771650"/>
          <a:chExt cx="628650" cy="371475"/>
        </a:xfrm>
      </xdr:grpSpPr>
      <xdr:sp macro="" textlink="">
        <xdr:nvSpPr>
          <xdr:cNvPr id="251" name="AutoShape 208">
            <a:extLst>
              <a:ext uri="{FF2B5EF4-FFF2-40B4-BE49-F238E27FC236}">
                <a16:creationId xmlns="" xmlns:a16="http://schemas.microsoft.com/office/drawing/2014/main" id="{00000000-0008-0000-0100-0000A01A01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252" name="直線コネクタ 251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53" name="直線コネクタ 252">
            <a:extLst>
              <a:ext uri="{FF2B5EF4-FFF2-40B4-BE49-F238E27FC236}">
                <a16:creationId xmlns="" xmlns:a16="http://schemas.microsoft.com/office/drawing/2014/main" id="{00000000-0008-0000-0100-000024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9</xdr:row>
      <xdr:rowOff>76200</xdr:rowOff>
    </xdr:from>
    <xdr:to>
      <xdr:col>18</xdr:col>
      <xdr:colOff>0</xdr:colOff>
      <xdr:row>10</xdr:row>
      <xdr:rowOff>190500</xdr:rowOff>
    </xdr:to>
    <xdr:grpSp>
      <xdr:nvGrpSpPr>
        <xdr:cNvPr id="254" name="グループ化 253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GrpSpPr/>
      </xdr:nvGrpSpPr>
      <xdr:grpSpPr>
        <a:xfrm>
          <a:off x="5197929" y="2552700"/>
          <a:ext cx="625928" cy="372836"/>
          <a:chOff x="5076825" y="1771650"/>
          <a:chExt cx="628650" cy="371475"/>
        </a:xfrm>
      </xdr:grpSpPr>
      <xdr:sp macro="" textlink="">
        <xdr:nvSpPr>
          <xdr:cNvPr id="255" name="AutoShape 208">
            <a:extLst>
              <a:ext uri="{FF2B5EF4-FFF2-40B4-BE49-F238E27FC236}">
                <a16:creationId xmlns=""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256" name="直線コネクタ 255">
            <a:extLst>
              <a:ext uri="{FF2B5EF4-FFF2-40B4-BE49-F238E27FC236}">
                <a16:creationId xmlns="" xmlns:a16="http://schemas.microsoft.com/office/drawing/2014/main" id="{00000000-0008-0000-0100-00002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57" name="直線コネクタ 256">
            <a:extLst>
              <a:ext uri="{FF2B5EF4-FFF2-40B4-BE49-F238E27FC236}">
                <a16:creationId xmlns="" xmlns:a16="http://schemas.microsoft.com/office/drawing/2014/main" id="{00000000-0008-0000-0100-00002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9525</xdr:colOff>
      <xdr:row>12</xdr:row>
      <xdr:rowOff>76200</xdr:rowOff>
    </xdr:from>
    <xdr:to>
      <xdr:col>18</xdr:col>
      <xdr:colOff>9525</xdr:colOff>
      <xdr:row>13</xdr:row>
      <xdr:rowOff>190500</xdr:rowOff>
    </xdr:to>
    <xdr:grpSp>
      <xdr:nvGrpSpPr>
        <xdr:cNvPr id="258" name="グループ化 257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5207454" y="3328307"/>
          <a:ext cx="625928" cy="372836"/>
          <a:chOff x="5076825" y="1771650"/>
          <a:chExt cx="628650" cy="371475"/>
        </a:xfrm>
      </xdr:grpSpPr>
      <xdr:sp macro="" textlink="">
        <xdr:nvSpPr>
          <xdr:cNvPr id="259" name="AutoShape 208">
            <a:extLst>
              <a:ext uri="{FF2B5EF4-FFF2-40B4-BE49-F238E27FC236}">
                <a16:creationId xmlns="" xmlns:a16="http://schemas.microsoft.com/office/drawing/2014/main" id="{00000000-0008-0000-0100-0000A01A01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260" name="直線コネクタ 259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61" name="直線コネクタ 260">
            <a:extLst>
              <a:ext uri="{FF2B5EF4-FFF2-40B4-BE49-F238E27FC236}">
                <a16:creationId xmlns="" xmlns:a16="http://schemas.microsoft.com/office/drawing/2014/main" id="{00000000-0008-0000-0100-000024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12</xdr:row>
      <xdr:rowOff>76200</xdr:rowOff>
    </xdr:from>
    <xdr:to>
      <xdr:col>18</xdr:col>
      <xdr:colOff>0</xdr:colOff>
      <xdr:row>13</xdr:row>
      <xdr:rowOff>190500</xdr:rowOff>
    </xdr:to>
    <xdr:grpSp>
      <xdr:nvGrpSpPr>
        <xdr:cNvPr id="262" name="グループ化 261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GrpSpPr/>
      </xdr:nvGrpSpPr>
      <xdr:grpSpPr>
        <a:xfrm>
          <a:off x="5197929" y="3328307"/>
          <a:ext cx="625928" cy="372836"/>
          <a:chOff x="5076825" y="1771650"/>
          <a:chExt cx="628650" cy="371475"/>
        </a:xfrm>
      </xdr:grpSpPr>
      <xdr:sp macro="" textlink="">
        <xdr:nvSpPr>
          <xdr:cNvPr id="263" name="AutoShape 208">
            <a:extLst>
              <a:ext uri="{FF2B5EF4-FFF2-40B4-BE49-F238E27FC236}">
                <a16:creationId xmlns=""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264" name="直線コネクタ 263">
            <a:extLst>
              <a:ext uri="{FF2B5EF4-FFF2-40B4-BE49-F238E27FC236}">
                <a16:creationId xmlns="" xmlns:a16="http://schemas.microsoft.com/office/drawing/2014/main" id="{00000000-0008-0000-0100-00002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65" name="直線コネクタ 264">
            <a:extLst>
              <a:ext uri="{FF2B5EF4-FFF2-40B4-BE49-F238E27FC236}">
                <a16:creationId xmlns="" xmlns:a16="http://schemas.microsoft.com/office/drawing/2014/main" id="{00000000-0008-0000-0100-00002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9525</xdr:colOff>
      <xdr:row>19</xdr:row>
      <xdr:rowOff>76200</xdr:rowOff>
    </xdr:from>
    <xdr:to>
      <xdr:col>18</xdr:col>
      <xdr:colOff>9525</xdr:colOff>
      <xdr:row>20</xdr:row>
      <xdr:rowOff>190500</xdr:rowOff>
    </xdr:to>
    <xdr:grpSp>
      <xdr:nvGrpSpPr>
        <xdr:cNvPr id="266" name="グループ化 265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5207454" y="5301343"/>
          <a:ext cx="625928" cy="372836"/>
          <a:chOff x="5076825" y="1771650"/>
          <a:chExt cx="628650" cy="371475"/>
        </a:xfrm>
      </xdr:grpSpPr>
      <xdr:sp macro="" textlink="">
        <xdr:nvSpPr>
          <xdr:cNvPr id="267" name="AutoShape 208">
            <a:extLst>
              <a:ext uri="{FF2B5EF4-FFF2-40B4-BE49-F238E27FC236}">
                <a16:creationId xmlns="" xmlns:a16="http://schemas.microsoft.com/office/drawing/2014/main" id="{00000000-0008-0000-0100-0000A01A01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268" name="直線コネクタ 267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69" name="直線コネクタ 268">
            <a:extLst>
              <a:ext uri="{FF2B5EF4-FFF2-40B4-BE49-F238E27FC236}">
                <a16:creationId xmlns="" xmlns:a16="http://schemas.microsoft.com/office/drawing/2014/main" id="{00000000-0008-0000-0100-000024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19</xdr:row>
      <xdr:rowOff>76200</xdr:rowOff>
    </xdr:from>
    <xdr:to>
      <xdr:col>18</xdr:col>
      <xdr:colOff>0</xdr:colOff>
      <xdr:row>20</xdr:row>
      <xdr:rowOff>190500</xdr:rowOff>
    </xdr:to>
    <xdr:grpSp>
      <xdr:nvGrpSpPr>
        <xdr:cNvPr id="270" name="グループ化 269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GrpSpPr/>
      </xdr:nvGrpSpPr>
      <xdr:grpSpPr>
        <a:xfrm>
          <a:off x="5197929" y="5301343"/>
          <a:ext cx="625928" cy="372836"/>
          <a:chOff x="5076825" y="1771650"/>
          <a:chExt cx="628650" cy="371475"/>
        </a:xfrm>
      </xdr:grpSpPr>
      <xdr:sp macro="" textlink="">
        <xdr:nvSpPr>
          <xdr:cNvPr id="271" name="AutoShape 208">
            <a:extLst>
              <a:ext uri="{FF2B5EF4-FFF2-40B4-BE49-F238E27FC236}">
                <a16:creationId xmlns=""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272" name="直線コネクタ 271">
            <a:extLst>
              <a:ext uri="{FF2B5EF4-FFF2-40B4-BE49-F238E27FC236}">
                <a16:creationId xmlns="" xmlns:a16="http://schemas.microsoft.com/office/drawing/2014/main" id="{00000000-0008-0000-0100-00002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73" name="直線コネクタ 272">
            <a:extLst>
              <a:ext uri="{FF2B5EF4-FFF2-40B4-BE49-F238E27FC236}">
                <a16:creationId xmlns="" xmlns:a16="http://schemas.microsoft.com/office/drawing/2014/main" id="{00000000-0008-0000-0100-00002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9525</xdr:colOff>
      <xdr:row>22</xdr:row>
      <xdr:rowOff>76200</xdr:rowOff>
    </xdr:from>
    <xdr:to>
      <xdr:col>18</xdr:col>
      <xdr:colOff>9525</xdr:colOff>
      <xdr:row>23</xdr:row>
      <xdr:rowOff>190500</xdr:rowOff>
    </xdr:to>
    <xdr:grpSp>
      <xdr:nvGrpSpPr>
        <xdr:cNvPr id="274" name="グループ化 27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5207454" y="6076950"/>
          <a:ext cx="625928" cy="372836"/>
          <a:chOff x="5076825" y="1771650"/>
          <a:chExt cx="628650" cy="371475"/>
        </a:xfrm>
      </xdr:grpSpPr>
      <xdr:sp macro="" textlink="">
        <xdr:nvSpPr>
          <xdr:cNvPr id="275" name="AutoShape 208">
            <a:extLst>
              <a:ext uri="{FF2B5EF4-FFF2-40B4-BE49-F238E27FC236}">
                <a16:creationId xmlns="" xmlns:a16="http://schemas.microsoft.com/office/drawing/2014/main" id="{00000000-0008-0000-0100-0000A01A01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276" name="直線コネクタ 275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77" name="直線コネクタ 276">
            <a:extLst>
              <a:ext uri="{FF2B5EF4-FFF2-40B4-BE49-F238E27FC236}">
                <a16:creationId xmlns="" xmlns:a16="http://schemas.microsoft.com/office/drawing/2014/main" id="{00000000-0008-0000-0100-000024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22</xdr:row>
      <xdr:rowOff>76200</xdr:rowOff>
    </xdr:from>
    <xdr:to>
      <xdr:col>18</xdr:col>
      <xdr:colOff>0</xdr:colOff>
      <xdr:row>23</xdr:row>
      <xdr:rowOff>190500</xdr:rowOff>
    </xdr:to>
    <xdr:grpSp>
      <xdr:nvGrpSpPr>
        <xdr:cNvPr id="278" name="グループ化 277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GrpSpPr/>
      </xdr:nvGrpSpPr>
      <xdr:grpSpPr>
        <a:xfrm>
          <a:off x="5197929" y="6076950"/>
          <a:ext cx="625928" cy="372836"/>
          <a:chOff x="5076825" y="1771650"/>
          <a:chExt cx="628650" cy="371475"/>
        </a:xfrm>
      </xdr:grpSpPr>
      <xdr:sp macro="" textlink="">
        <xdr:nvSpPr>
          <xdr:cNvPr id="279" name="AutoShape 208">
            <a:extLst>
              <a:ext uri="{FF2B5EF4-FFF2-40B4-BE49-F238E27FC236}">
                <a16:creationId xmlns=""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280" name="直線コネクタ 279">
            <a:extLst>
              <a:ext uri="{FF2B5EF4-FFF2-40B4-BE49-F238E27FC236}">
                <a16:creationId xmlns="" xmlns:a16="http://schemas.microsoft.com/office/drawing/2014/main" id="{00000000-0008-0000-0100-00002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81" name="直線コネクタ 280">
            <a:extLst>
              <a:ext uri="{FF2B5EF4-FFF2-40B4-BE49-F238E27FC236}">
                <a16:creationId xmlns="" xmlns:a16="http://schemas.microsoft.com/office/drawing/2014/main" id="{00000000-0008-0000-0100-00002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9525</xdr:colOff>
      <xdr:row>19</xdr:row>
      <xdr:rowOff>76200</xdr:rowOff>
    </xdr:from>
    <xdr:to>
      <xdr:col>35</xdr:col>
      <xdr:colOff>9525</xdr:colOff>
      <xdr:row>20</xdr:row>
      <xdr:rowOff>190500</xdr:rowOff>
    </xdr:to>
    <xdr:grpSp>
      <xdr:nvGrpSpPr>
        <xdr:cNvPr id="282" name="グループ化 281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0051596" y="5301343"/>
          <a:ext cx="625929" cy="372836"/>
          <a:chOff x="5076825" y="1771650"/>
          <a:chExt cx="628650" cy="371475"/>
        </a:xfrm>
      </xdr:grpSpPr>
      <xdr:sp macro="" textlink="">
        <xdr:nvSpPr>
          <xdr:cNvPr id="283" name="AutoShape 208">
            <a:extLst>
              <a:ext uri="{FF2B5EF4-FFF2-40B4-BE49-F238E27FC236}">
                <a16:creationId xmlns="" xmlns:a16="http://schemas.microsoft.com/office/drawing/2014/main" id="{00000000-0008-0000-0100-0000A01A01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284" name="直線コネクタ 283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85" name="直線コネクタ 284">
            <a:extLst>
              <a:ext uri="{FF2B5EF4-FFF2-40B4-BE49-F238E27FC236}">
                <a16:creationId xmlns="" xmlns:a16="http://schemas.microsoft.com/office/drawing/2014/main" id="{00000000-0008-0000-0100-000024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19</xdr:row>
      <xdr:rowOff>76200</xdr:rowOff>
    </xdr:from>
    <xdr:to>
      <xdr:col>35</xdr:col>
      <xdr:colOff>0</xdr:colOff>
      <xdr:row>20</xdr:row>
      <xdr:rowOff>190500</xdr:rowOff>
    </xdr:to>
    <xdr:grpSp>
      <xdr:nvGrpSpPr>
        <xdr:cNvPr id="286" name="グループ化 285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GrpSpPr/>
      </xdr:nvGrpSpPr>
      <xdr:grpSpPr>
        <a:xfrm>
          <a:off x="10042071" y="5301343"/>
          <a:ext cx="625929" cy="372836"/>
          <a:chOff x="5076825" y="1771650"/>
          <a:chExt cx="628650" cy="371475"/>
        </a:xfrm>
      </xdr:grpSpPr>
      <xdr:sp macro="" textlink="">
        <xdr:nvSpPr>
          <xdr:cNvPr id="287" name="AutoShape 208">
            <a:extLst>
              <a:ext uri="{FF2B5EF4-FFF2-40B4-BE49-F238E27FC236}">
                <a16:creationId xmlns=""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288" name="直線コネクタ 287">
            <a:extLst>
              <a:ext uri="{FF2B5EF4-FFF2-40B4-BE49-F238E27FC236}">
                <a16:creationId xmlns="" xmlns:a16="http://schemas.microsoft.com/office/drawing/2014/main" id="{00000000-0008-0000-0100-00002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89" name="直線コネクタ 288">
            <a:extLst>
              <a:ext uri="{FF2B5EF4-FFF2-40B4-BE49-F238E27FC236}">
                <a16:creationId xmlns="" xmlns:a16="http://schemas.microsoft.com/office/drawing/2014/main" id="{00000000-0008-0000-0100-00002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9525</xdr:colOff>
      <xdr:row>22</xdr:row>
      <xdr:rowOff>76200</xdr:rowOff>
    </xdr:from>
    <xdr:to>
      <xdr:col>35</xdr:col>
      <xdr:colOff>9525</xdr:colOff>
      <xdr:row>23</xdr:row>
      <xdr:rowOff>190500</xdr:rowOff>
    </xdr:to>
    <xdr:grpSp>
      <xdr:nvGrpSpPr>
        <xdr:cNvPr id="290" name="グループ化 289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0051596" y="6076950"/>
          <a:ext cx="625929" cy="372836"/>
          <a:chOff x="5076825" y="1771650"/>
          <a:chExt cx="628650" cy="371475"/>
        </a:xfrm>
      </xdr:grpSpPr>
      <xdr:sp macro="" textlink="">
        <xdr:nvSpPr>
          <xdr:cNvPr id="291" name="AutoShape 208">
            <a:extLst>
              <a:ext uri="{FF2B5EF4-FFF2-40B4-BE49-F238E27FC236}">
                <a16:creationId xmlns="" xmlns:a16="http://schemas.microsoft.com/office/drawing/2014/main" id="{00000000-0008-0000-0100-0000A01A01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292" name="直線コネクタ 291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93" name="直線コネクタ 292">
            <a:extLst>
              <a:ext uri="{FF2B5EF4-FFF2-40B4-BE49-F238E27FC236}">
                <a16:creationId xmlns="" xmlns:a16="http://schemas.microsoft.com/office/drawing/2014/main" id="{00000000-0008-0000-0100-000024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22</xdr:row>
      <xdr:rowOff>76200</xdr:rowOff>
    </xdr:from>
    <xdr:to>
      <xdr:col>35</xdr:col>
      <xdr:colOff>0</xdr:colOff>
      <xdr:row>23</xdr:row>
      <xdr:rowOff>190500</xdr:rowOff>
    </xdr:to>
    <xdr:grpSp>
      <xdr:nvGrpSpPr>
        <xdr:cNvPr id="294" name="グループ化 293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GrpSpPr/>
      </xdr:nvGrpSpPr>
      <xdr:grpSpPr>
        <a:xfrm>
          <a:off x="10042071" y="6076950"/>
          <a:ext cx="625929" cy="372836"/>
          <a:chOff x="5076825" y="1771650"/>
          <a:chExt cx="628650" cy="371475"/>
        </a:xfrm>
      </xdr:grpSpPr>
      <xdr:sp macro="" textlink="">
        <xdr:nvSpPr>
          <xdr:cNvPr id="295" name="AutoShape 208">
            <a:extLst>
              <a:ext uri="{FF2B5EF4-FFF2-40B4-BE49-F238E27FC236}">
                <a16:creationId xmlns=""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296" name="直線コネクタ 295">
            <a:extLst>
              <a:ext uri="{FF2B5EF4-FFF2-40B4-BE49-F238E27FC236}">
                <a16:creationId xmlns="" xmlns:a16="http://schemas.microsoft.com/office/drawing/2014/main" id="{00000000-0008-0000-0100-00002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97" name="直線コネクタ 296">
            <a:extLst>
              <a:ext uri="{FF2B5EF4-FFF2-40B4-BE49-F238E27FC236}">
                <a16:creationId xmlns="" xmlns:a16="http://schemas.microsoft.com/office/drawing/2014/main" id="{00000000-0008-0000-0100-00002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9525</xdr:colOff>
      <xdr:row>25</xdr:row>
      <xdr:rowOff>76200</xdr:rowOff>
    </xdr:from>
    <xdr:to>
      <xdr:col>18</xdr:col>
      <xdr:colOff>9525</xdr:colOff>
      <xdr:row>26</xdr:row>
      <xdr:rowOff>190500</xdr:rowOff>
    </xdr:to>
    <xdr:grpSp>
      <xdr:nvGrpSpPr>
        <xdr:cNvPr id="298" name="グループ化 297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5207454" y="6852557"/>
          <a:ext cx="625928" cy="372836"/>
          <a:chOff x="5076825" y="1771650"/>
          <a:chExt cx="628650" cy="371475"/>
        </a:xfrm>
      </xdr:grpSpPr>
      <xdr:sp macro="" textlink="">
        <xdr:nvSpPr>
          <xdr:cNvPr id="299" name="AutoShape 208">
            <a:extLst>
              <a:ext uri="{FF2B5EF4-FFF2-40B4-BE49-F238E27FC236}">
                <a16:creationId xmlns="" xmlns:a16="http://schemas.microsoft.com/office/drawing/2014/main" id="{00000000-0008-0000-0100-0000A01A01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300" name="直線コネクタ 299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301" name="直線コネクタ 300">
            <a:extLst>
              <a:ext uri="{FF2B5EF4-FFF2-40B4-BE49-F238E27FC236}">
                <a16:creationId xmlns="" xmlns:a16="http://schemas.microsoft.com/office/drawing/2014/main" id="{00000000-0008-0000-0100-000024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25</xdr:row>
      <xdr:rowOff>76200</xdr:rowOff>
    </xdr:from>
    <xdr:to>
      <xdr:col>18</xdr:col>
      <xdr:colOff>0</xdr:colOff>
      <xdr:row>26</xdr:row>
      <xdr:rowOff>190500</xdr:rowOff>
    </xdr:to>
    <xdr:grpSp>
      <xdr:nvGrpSpPr>
        <xdr:cNvPr id="302" name="グループ化 301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GrpSpPr/>
      </xdr:nvGrpSpPr>
      <xdr:grpSpPr>
        <a:xfrm>
          <a:off x="5197929" y="6852557"/>
          <a:ext cx="625928" cy="372836"/>
          <a:chOff x="5076825" y="1771650"/>
          <a:chExt cx="628650" cy="371475"/>
        </a:xfrm>
      </xdr:grpSpPr>
      <xdr:sp macro="" textlink="">
        <xdr:nvSpPr>
          <xdr:cNvPr id="303" name="AutoShape 208">
            <a:extLst>
              <a:ext uri="{FF2B5EF4-FFF2-40B4-BE49-F238E27FC236}">
                <a16:creationId xmlns=""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304" name="直線コネクタ 303">
            <a:extLst>
              <a:ext uri="{FF2B5EF4-FFF2-40B4-BE49-F238E27FC236}">
                <a16:creationId xmlns="" xmlns:a16="http://schemas.microsoft.com/office/drawing/2014/main" id="{00000000-0008-0000-0100-00002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305" name="直線コネクタ 304">
            <a:extLst>
              <a:ext uri="{FF2B5EF4-FFF2-40B4-BE49-F238E27FC236}">
                <a16:creationId xmlns="" xmlns:a16="http://schemas.microsoft.com/office/drawing/2014/main" id="{00000000-0008-0000-0100-00002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9525</xdr:colOff>
      <xdr:row>25</xdr:row>
      <xdr:rowOff>76200</xdr:rowOff>
    </xdr:from>
    <xdr:to>
      <xdr:col>35</xdr:col>
      <xdr:colOff>9525</xdr:colOff>
      <xdr:row>26</xdr:row>
      <xdr:rowOff>190500</xdr:rowOff>
    </xdr:to>
    <xdr:grpSp>
      <xdr:nvGrpSpPr>
        <xdr:cNvPr id="306" name="グループ化 305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0051596" y="6852557"/>
          <a:ext cx="625929" cy="372836"/>
          <a:chOff x="5076825" y="1771650"/>
          <a:chExt cx="628650" cy="371475"/>
        </a:xfrm>
      </xdr:grpSpPr>
      <xdr:sp macro="" textlink="">
        <xdr:nvSpPr>
          <xdr:cNvPr id="307" name="AutoShape 208">
            <a:extLst>
              <a:ext uri="{FF2B5EF4-FFF2-40B4-BE49-F238E27FC236}">
                <a16:creationId xmlns="" xmlns:a16="http://schemas.microsoft.com/office/drawing/2014/main" id="{00000000-0008-0000-0100-0000A01A01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308" name="直線コネクタ 307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309" name="直線コネクタ 308">
            <a:extLst>
              <a:ext uri="{FF2B5EF4-FFF2-40B4-BE49-F238E27FC236}">
                <a16:creationId xmlns="" xmlns:a16="http://schemas.microsoft.com/office/drawing/2014/main" id="{00000000-0008-0000-0100-000024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25</xdr:row>
      <xdr:rowOff>76200</xdr:rowOff>
    </xdr:from>
    <xdr:to>
      <xdr:col>35</xdr:col>
      <xdr:colOff>0</xdr:colOff>
      <xdr:row>26</xdr:row>
      <xdr:rowOff>190500</xdr:rowOff>
    </xdr:to>
    <xdr:grpSp>
      <xdr:nvGrpSpPr>
        <xdr:cNvPr id="310" name="グループ化 309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GrpSpPr/>
      </xdr:nvGrpSpPr>
      <xdr:grpSpPr>
        <a:xfrm>
          <a:off x="10042071" y="6852557"/>
          <a:ext cx="625929" cy="372836"/>
          <a:chOff x="5076825" y="1771650"/>
          <a:chExt cx="628650" cy="371475"/>
        </a:xfrm>
      </xdr:grpSpPr>
      <xdr:sp macro="" textlink="">
        <xdr:nvSpPr>
          <xdr:cNvPr id="311" name="AutoShape 208">
            <a:extLst>
              <a:ext uri="{FF2B5EF4-FFF2-40B4-BE49-F238E27FC236}">
                <a16:creationId xmlns=""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312" name="直線コネクタ 311">
            <a:extLst>
              <a:ext uri="{FF2B5EF4-FFF2-40B4-BE49-F238E27FC236}">
                <a16:creationId xmlns="" xmlns:a16="http://schemas.microsoft.com/office/drawing/2014/main" id="{00000000-0008-0000-0100-00002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313" name="直線コネクタ 312">
            <a:extLst>
              <a:ext uri="{FF2B5EF4-FFF2-40B4-BE49-F238E27FC236}">
                <a16:creationId xmlns="" xmlns:a16="http://schemas.microsoft.com/office/drawing/2014/main" id="{00000000-0008-0000-0100-00002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9525</xdr:colOff>
      <xdr:row>29</xdr:row>
      <xdr:rowOff>76200</xdr:rowOff>
    </xdr:from>
    <xdr:to>
      <xdr:col>18</xdr:col>
      <xdr:colOff>9525</xdr:colOff>
      <xdr:row>30</xdr:row>
      <xdr:rowOff>190500</xdr:rowOff>
    </xdr:to>
    <xdr:grpSp>
      <xdr:nvGrpSpPr>
        <xdr:cNvPr id="314" name="グループ化 31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5207454" y="7927521"/>
          <a:ext cx="625928" cy="372836"/>
          <a:chOff x="5076825" y="1771650"/>
          <a:chExt cx="628650" cy="371475"/>
        </a:xfrm>
      </xdr:grpSpPr>
      <xdr:sp macro="" textlink="">
        <xdr:nvSpPr>
          <xdr:cNvPr id="315" name="AutoShape 208">
            <a:extLst>
              <a:ext uri="{FF2B5EF4-FFF2-40B4-BE49-F238E27FC236}">
                <a16:creationId xmlns="" xmlns:a16="http://schemas.microsoft.com/office/drawing/2014/main" id="{00000000-0008-0000-0100-0000A01A01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316" name="直線コネクタ 315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317" name="直線コネクタ 316">
            <a:extLst>
              <a:ext uri="{FF2B5EF4-FFF2-40B4-BE49-F238E27FC236}">
                <a16:creationId xmlns="" xmlns:a16="http://schemas.microsoft.com/office/drawing/2014/main" id="{00000000-0008-0000-0100-000024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29</xdr:row>
      <xdr:rowOff>76200</xdr:rowOff>
    </xdr:from>
    <xdr:to>
      <xdr:col>18</xdr:col>
      <xdr:colOff>0</xdr:colOff>
      <xdr:row>30</xdr:row>
      <xdr:rowOff>190500</xdr:rowOff>
    </xdr:to>
    <xdr:grpSp>
      <xdr:nvGrpSpPr>
        <xdr:cNvPr id="318" name="グループ化 317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GrpSpPr/>
      </xdr:nvGrpSpPr>
      <xdr:grpSpPr>
        <a:xfrm>
          <a:off x="5197929" y="7927521"/>
          <a:ext cx="625928" cy="372836"/>
          <a:chOff x="5076825" y="1771650"/>
          <a:chExt cx="628650" cy="371475"/>
        </a:xfrm>
      </xdr:grpSpPr>
      <xdr:sp macro="" textlink="">
        <xdr:nvSpPr>
          <xdr:cNvPr id="319" name="AutoShape 208">
            <a:extLst>
              <a:ext uri="{FF2B5EF4-FFF2-40B4-BE49-F238E27FC236}">
                <a16:creationId xmlns=""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320" name="直線コネクタ 319">
            <a:extLst>
              <a:ext uri="{FF2B5EF4-FFF2-40B4-BE49-F238E27FC236}">
                <a16:creationId xmlns="" xmlns:a16="http://schemas.microsoft.com/office/drawing/2014/main" id="{00000000-0008-0000-0100-00002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321" name="直線コネクタ 320">
            <a:extLst>
              <a:ext uri="{FF2B5EF4-FFF2-40B4-BE49-F238E27FC236}">
                <a16:creationId xmlns="" xmlns:a16="http://schemas.microsoft.com/office/drawing/2014/main" id="{00000000-0008-0000-0100-00002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9525</xdr:colOff>
      <xdr:row>29</xdr:row>
      <xdr:rowOff>76200</xdr:rowOff>
    </xdr:from>
    <xdr:to>
      <xdr:col>35</xdr:col>
      <xdr:colOff>9525</xdr:colOff>
      <xdr:row>30</xdr:row>
      <xdr:rowOff>190500</xdr:rowOff>
    </xdr:to>
    <xdr:grpSp>
      <xdr:nvGrpSpPr>
        <xdr:cNvPr id="322" name="グループ化 321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0051596" y="7927521"/>
          <a:ext cx="625929" cy="372836"/>
          <a:chOff x="5076825" y="1771650"/>
          <a:chExt cx="628650" cy="371475"/>
        </a:xfrm>
      </xdr:grpSpPr>
      <xdr:sp macro="" textlink="">
        <xdr:nvSpPr>
          <xdr:cNvPr id="323" name="AutoShape 208">
            <a:extLst>
              <a:ext uri="{FF2B5EF4-FFF2-40B4-BE49-F238E27FC236}">
                <a16:creationId xmlns="" xmlns:a16="http://schemas.microsoft.com/office/drawing/2014/main" id="{00000000-0008-0000-0100-0000A01A01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324" name="直線コネクタ 323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325" name="直線コネクタ 324">
            <a:extLst>
              <a:ext uri="{FF2B5EF4-FFF2-40B4-BE49-F238E27FC236}">
                <a16:creationId xmlns="" xmlns:a16="http://schemas.microsoft.com/office/drawing/2014/main" id="{00000000-0008-0000-0100-000024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29</xdr:row>
      <xdr:rowOff>76200</xdr:rowOff>
    </xdr:from>
    <xdr:to>
      <xdr:col>35</xdr:col>
      <xdr:colOff>0</xdr:colOff>
      <xdr:row>30</xdr:row>
      <xdr:rowOff>190500</xdr:rowOff>
    </xdr:to>
    <xdr:grpSp>
      <xdr:nvGrpSpPr>
        <xdr:cNvPr id="326" name="グループ化 325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GrpSpPr/>
      </xdr:nvGrpSpPr>
      <xdr:grpSpPr>
        <a:xfrm>
          <a:off x="10042071" y="7927521"/>
          <a:ext cx="625929" cy="372836"/>
          <a:chOff x="5076825" y="1771650"/>
          <a:chExt cx="628650" cy="371475"/>
        </a:xfrm>
      </xdr:grpSpPr>
      <xdr:sp macro="" textlink="">
        <xdr:nvSpPr>
          <xdr:cNvPr id="327" name="AutoShape 208">
            <a:extLst>
              <a:ext uri="{FF2B5EF4-FFF2-40B4-BE49-F238E27FC236}">
                <a16:creationId xmlns=""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328" name="直線コネクタ 327">
            <a:extLst>
              <a:ext uri="{FF2B5EF4-FFF2-40B4-BE49-F238E27FC236}">
                <a16:creationId xmlns="" xmlns:a16="http://schemas.microsoft.com/office/drawing/2014/main" id="{00000000-0008-0000-0100-00002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329" name="直線コネクタ 328">
            <a:extLst>
              <a:ext uri="{FF2B5EF4-FFF2-40B4-BE49-F238E27FC236}">
                <a16:creationId xmlns="" xmlns:a16="http://schemas.microsoft.com/office/drawing/2014/main" id="{00000000-0008-0000-0100-00002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9525</xdr:colOff>
      <xdr:row>32</xdr:row>
      <xdr:rowOff>76200</xdr:rowOff>
    </xdr:from>
    <xdr:to>
      <xdr:col>18</xdr:col>
      <xdr:colOff>9525</xdr:colOff>
      <xdr:row>33</xdr:row>
      <xdr:rowOff>190500</xdr:rowOff>
    </xdr:to>
    <xdr:grpSp>
      <xdr:nvGrpSpPr>
        <xdr:cNvPr id="330" name="グループ化 329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5207454" y="8703129"/>
          <a:ext cx="625928" cy="372835"/>
          <a:chOff x="5076825" y="1771650"/>
          <a:chExt cx="628650" cy="371475"/>
        </a:xfrm>
      </xdr:grpSpPr>
      <xdr:sp macro="" textlink="">
        <xdr:nvSpPr>
          <xdr:cNvPr id="331" name="AutoShape 208">
            <a:extLst>
              <a:ext uri="{FF2B5EF4-FFF2-40B4-BE49-F238E27FC236}">
                <a16:creationId xmlns="" xmlns:a16="http://schemas.microsoft.com/office/drawing/2014/main" id="{00000000-0008-0000-0100-0000A01A01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332" name="直線コネクタ 331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333" name="直線コネクタ 332">
            <a:extLst>
              <a:ext uri="{FF2B5EF4-FFF2-40B4-BE49-F238E27FC236}">
                <a16:creationId xmlns="" xmlns:a16="http://schemas.microsoft.com/office/drawing/2014/main" id="{00000000-0008-0000-0100-000024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32</xdr:row>
      <xdr:rowOff>76200</xdr:rowOff>
    </xdr:from>
    <xdr:to>
      <xdr:col>18</xdr:col>
      <xdr:colOff>0</xdr:colOff>
      <xdr:row>33</xdr:row>
      <xdr:rowOff>190500</xdr:rowOff>
    </xdr:to>
    <xdr:grpSp>
      <xdr:nvGrpSpPr>
        <xdr:cNvPr id="334" name="グループ化 333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GrpSpPr/>
      </xdr:nvGrpSpPr>
      <xdr:grpSpPr>
        <a:xfrm>
          <a:off x="5197929" y="8703129"/>
          <a:ext cx="625928" cy="372835"/>
          <a:chOff x="5076825" y="1771650"/>
          <a:chExt cx="628650" cy="371475"/>
        </a:xfrm>
      </xdr:grpSpPr>
      <xdr:sp macro="" textlink="">
        <xdr:nvSpPr>
          <xdr:cNvPr id="335" name="AutoShape 208">
            <a:extLst>
              <a:ext uri="{FF2B5EF4-FFF2-40B4-BE49-F238E27FC236}">
                <a16:creationId xmlns=""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336" name="直線コネクタ 335">
            <a:extLst>
              <a:ext uri="{FF2B5EF4-FFF2-40B4-BE49-F238E27FC236}">
                <a16:creationId xmlns="" xmlns:a16="http://schemas.microsoft.com/office/drawing/2014/main" id="{00000000-0008-0000-0100-00002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337" name="直線コネクタ 336">
            <a:extLst>
              <a:ext uri="{FF2B5EF4-FFF2-40B4-BE49-F238E27FC236}">
                <a16:creationId xmlns="" xmlns:a16="http://schemas.microsoft.com/office/drawing/2014/main" id="{00000000-0008-0000-0100-00002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9525</xdr:colOff>
      <xdr:row>32</xdr:row>
      <xdr:rowOff>76200</xdr:rowOff>
    </xdr:from>
    <xdr:to>
      <xdr:col>35</xdr:col>
      <xdr:colOff>9525</xdr:colOff>
      <xdr:row>33</xdr:row>
      <xdr:rowOff>190500</xdr:rowOff>
    </xdr:to>
    <xdr:grpSp>
      <xdr:nvGrpSpPr>
        <xdr:cNvPr id="338" name="グループ化 337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0051596" y="8703129"/>
          <a:ext cx="625929" cy="372835"/>
          <a:chOff x="5076825" y="1771650"/>
          <a:chExt cx="628650" cy="371475"/>
        </a:xfrm>
      </xdr:grpSpPr>
      <xdr:sp macro="" textlink="">
        <xdr:nvSpPr>
          <xdr:cNvPr id="339" name="AutoShape 208">
            <a:extLst>
              <a:ext uri="{FF2B5EF4-FFF2-40B4-BE49-F238E27FC236}">
                <a16:creationId xmlns="" xmlns:a16="http://schemas.microsoft.com/office/drawing/2014/main" id="{00000000-0008-0000-0100-0000A01A01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340" name="直線コネクタ 339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341" name="直線コネクタ 340">
            <a:extLst>
              <a:ext uri="{FF2B5EF4-FFF2-40B4-BE49-F238E27FC236}">
                <a16:creationId xmlns="" xmlns:a16="http://schemas.microsoft.com/office/drawing/2014/main" id="{00000000-0008-0000-0100-000024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32</xdr:row>
      <xdr:rowOff>76200</xdr:rowOff>
    </xdr:from>
    <xdr:to>
      <xdr:col>35</xdr:col>
      <xdr:colOff>0</xdr:colOff>
      <xdr:row>33</xdr:row>
      <xdr:rowOff>190500</xdr:rowOff>
    </xdr:to>
    <xdr:grpSp>
      <xdr:nvGrpSpPr>
        <xdr:cNvPr id="342" name="グループ化 341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GrpSpPr/>
      </xdr:nvGrpSpPr>
      <xdr:grpSpPr>
        <a:xfrm>
          <a:off x="10042071" y="8703129"/>
          <a:ext cx="625929" cy="372835"/>
          <a:chOff x="5076825" y="1771650"/>
          <a:chExt cx="628650" cy="371475"/>
        </a:xfrm>
      </xdr:grpSpPr>
      <xdr:sp macro="" textlink="">
        <xdr:nvSpPr>
          <xdr:cNvPr id="343" name="AutoShape 208">
            <a:extLst>
              <a:ext uri="{FF2B5EF4-FFF2-40B4-BE49-F238E27FC236}">
                <a16:creationId xmlns=""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344" name="直線コネクタ 343">
            <a:extLst>
              <a:ext uri="{FF2B5EF4-FFF2-40B4-BE49-F238E27FC236}">
                <a16:creationId xmlns="" xmlns:a16="http://schemas.microsoft.com/office/drawing/2014/main" id="{00000000-0008-0000-0100-00002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345" name="直線コネクタ 344">
            <a:extLst>
              <a:ext uri="{FF2B5EF4-FFF2-40B4-BE49-F238E27FC236}">
                <a16:creationId xmlns="" xmlns:a16="http://schemas.microsoft.com/office/drawing/2014/main" id="{00000000-0008-0000-0100-00002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9525</xdr:colOff>
      <xdr:row>36</xdr:row>
      <xdr:rowOff>76200</xdr:rowOff>
    </xdr:from>
    <xdr:to>
      <xdr:col>18</xdr:col>
      <xdr:colOff>9525</xdr:colOff>
      <xdr:row>37</xdr:row>
      <xdr:rowOff>190500</xdr:rowOff>
    </xdr:to>
    <xdr:grpSp>
      <xdr:nvGrpSpPr>
        <xdr:cNvPr id="346" name="グループ化 345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5207454" y="9818914"/>
          <a:ext cx="625928" cy="372836"/>
          <a:chOff x="5076825" y="1771650"/>
          <a:chExt cx="628650" cy="371475"/>
        </a:xfrm>
      </xdr:grpSpPr>
      <xdr:sp macro="" textlink="">
        <xdr:nvSpPr>
          <xdr:cNvPr id="347" name="AutoShape 208">
            <a:extLst>
              <a:ext uri="{FF2B5EF4-FFF2-40B4-BE49-F238E27FC236}">
                <a16:creationId xmlns="" xmlns:a16="http://schemas.microsoft.com/office/drawing/2014/main" id="{00000000-0008-0000-0100-0000A01A01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348" name="直線コネクタ 347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349" name="直線コネクタ 348">
            <a:extLst>
              <a:ext uri="{FF2B5EF4-FFF2-40B4-BE49-F238E27FC236}">
                <a16:creationId xmlns="" xmlns:a16="http://schemas.microsoft.com/office/drawing/2014/main" id="{00000000-0008-0000-0100-000024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36</xdr:row>
      <xdr:rowOff>76200</xdr:rowOff>
    </xdr:from>
    <xdr:to>
      <xdr:col>18</xdr:col>
      <xdr:colOff>0</xdr:colOff>
      <xdr:row>37</xdr:row>
      <xdr:rowOff>190500</xdr:rowOff>
    </xdr:to>
    <xdr:grpSp>
      <xdr:nvGrpSpPr>
        <xdr:cNvPr id="350" name="グループ化 349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GrpSpPr/>
      </xdr:nvGrpSpPr>
      <xdr:grpSpPr>
        <a:xfrm>
          <a:off x="5197929" y="9818914"/>
          <a:ext cx="625928" cy="372836"/>
          <a:chOff x="5076825" y="1771650"/>
          <a:chExt cx="628650" cy="371475"/>
        </a:xfrm>
      </xdr:grpSpPr>
      <xdr:sp macro="" textlink="">
        <xdr:nvSpPr>
          <xdr:cNvPr id="351" name="AutoShape 208">
            <a:extLst>
              <a:ext uri="{FF2B5EF4-FFF2-40B4-BE49-F238E27FC236}">
                <a16:creationId xmlns=""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352" name="直線コネクタ 351">
            <a:extLst>
              <a:ext uri="{FF2B5EF4-FFF2-40B4-BE49-F238E27FC236}">
                <a16:creationId xmlns="" xmlns:a16="http://schemas.microsoft.com/office/drawing/2014/main" id="{00000000-0008-0000-0100-00002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353" name="直線コネクタ 352">
            <a:extLst>
              <a:ext uri="{FF2B5EF4-FFF2-40B4-BE49-F238E27FC236}">
                <a16:creationId xmlns="" xmlns:a16="http://schemas.microsoft.com/office/drawing/2014/main" id="{00000000-0008-0000-0100-00002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9525</xdr:colOff>
      <xdr:row>36</xdr:row>
      <xdr:rowOff>76200</xdr:rowOff>
    </xdr:from>
    <xdr:to>
      <xdr:col>35</xdr:col>
      <xdr:colOff>9525</xdr:colOff>
      <xdr:row>37</xdr:row>
      <xdr:rowOff>190500</xdr:rowOff>
    </xdr:to>
    <xdr:grpSp>
      <xdr:nvGrpSpPr>
        <xdr:cNvPr id="354" name="グループ化 35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0051596" y="9818914"/>
          <a:ext cx="625929" cy="372836"/>
          <a:chOff x="5076825" y="1771650"/>
          <a:chExt cx="628650" cy="371475"/>
        </a:xfrm>
      </xdr:grpSpPr>
      <xdr:sp macro="" textlink="">
        <xdr:nvSpPr>
          <xdr:cNvPr id="355" name="AutoShape 208">
            <a:extLst>
              <a:ext uri="{FF2B5EF4-FFF2-40B4-BE49-F238E27FC236}">
                <a16:creationId xmlns="" xmlns:a16="http://schemas.microsoft.com/office/drawing/2014/main" id="{00000000-0008-0000-0100-0000A01A01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356" name="直線コネクタ 355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357" name="直線コネクタ 356">
            <a:extLst>
              <a:ext uri="{FF2B5EF4-FFF2-40B4-BE49-F238E27FC236}">
                <a16:creationId xmlns="" xmlns:a16="http://schemas.microsoft.com/office/drawing/2014/main" id="{00000000-0008-0000-0100-000024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36</xdr:row>
      <xdr:rowOff>76200</xdr:rowOff>
    </xdr:from>
    <xdr:to>
      <xdr:col>35</xdr:col>
      <xdr:colOff>0</xdr:colOff>
      <xdr:row>37</xdr:row>
      <xdr:rowOff>190500</xdr:rowOff>
    </xdr:to>
    <xdr:grpSp>
      <xdr:nvGrpSpPr>
        <xdr:cNvPr id="358" name="グループ化 357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GrpSpPr/>
      </xdr:nvGrpSpPr>
      <xdr:grpSpPr>
        <a:xfrm>
          <a:off x="10042071" y="9818914"/>
          <a:ext cx="625929" cy="372836"/>
          <a:chOff x="5076825" y="1771650"/>
          <a:chExt cx="628650" cy="371475"/>
        </a:xfrm>
      </xdr:grpSpPr>
      <xdr:sp macro="" textlink="">
        <xdr:nvSpPr>
          <xdr:cNvPr id="359" name="AutoShape 208">
            <a:extLst>
              <a:ext uri="{FF2B5EF4-FFF2-40B4-BE49-F238E27FC236}">
                <a16:creationId xmlns=""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360" name="直線コネクタ 359">
            <a:extLst>
              <a:ext uri="{FF2B5EF4-FFF2-40B4-BE49-F238E27FC236}">
                <a16:creationId xmlns="" xmlns:a16="http://schemas.microsoft.com/office/drawing/2014/main" id="{00000000-0008-0000-0100-00002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361" name="直線コネクタ 360">
            <a:extLst>
              <a:ext uri="{FF2B5EF4-FFF2-40B4-BE49-F238E27FC236}">
                <a16:creationId xmlns="" xmlns:a16="http://schemas.microsoft.com/office/drawing/2014/main" id="{00000000-0008-0000-0100-00002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9525</xdr:colOff>
      <xdr:row>39</xdr:row>
      <xdr:rowOff>76200</xdr:rowOff>
    </xdr:from>
    <xdr:to>
      <xdr:col>18</xdr:col>
      <xdr:colOff>9525</xdr:colOff>
      <xdr:row>40</xdr:row>
      <xdr:rowOff>190500</xdr:rowOff>
    </xdr:to>
    <xdr:grpSp>
      <xdr:nvGrpSpPr>
        <xdr:cNvPr id="362" name="グループ化 361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5207454" y="10594521"/>
          <a:ext cx="625928" cy="372836"/>
          <a:chOff x="5076825" y="1771650"/>
          <a:chExt cx="628650" cy="371475"/>
        </a:xfrm>
      </xdr:grpSpPr>
      <xdr:sp macro="" textlink="">
        <xdr:nvSpPr>
          <xdr:cNvPr id="363" name="AutoShape 208">
            <a:extLst>
              <a:ext uri="{FF2B5EF4-FFF2-40B4-BE49-F238E27FC236}">
                <a16:creationId xmlns="" xmlns:a16="http://schemas.microsoft.com/office/drawing/2014/main" id="{00000000-0008-0000-0100-0000A01A01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364" name="直線コネクタ 363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365" name="直線コネクタ 364">
            <a:extLst>
              <a:ext uri="{FF2B5EF4-FFF2-40B4-BE49-F238E27FC236}">
                <a16:creationId xmlns="" xmlns:a16="http://schemas.microsoft.com/office/drawing/2014/main" id="{00000000-0008-0000-0100-000024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39</xdr:row>
      <xdr:rowOff>76200</xdr:rowOff>
    </xdr:from>
    <xdr:to>
      <xdr:col>18</xdr:col>
      <xdr:colOff>0</xdr:colOff>
      <xdr:row>40</xdr:row>
      <xdr:rowOff>190500</xdr:rowOff>
    </xdr:to>
    <xdr:grpSp>
      <xdr:nvGrpSpPr>
        <xdr:cNvPr id="366" name="グループ化 365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GrpSpPr/>
      </xdr:nvGrpSpPr>
      <xdr:grpSpPr>
        <a:xfrm>
          <a:off x="5197929" y="10594521"/>
          <a:ext cx="625928" cy="372836"/>
          <a:chOff x="5076825" y="1771650"/>
          <a:chExt cx="628650" cy="371475"/>
        </a:xfrm>
      </xdr:grpSpPr>
      <xdr:sp macro="" textlink="">
        <xdr:nvSpPr>
          <xdr:cNvPr id="367" name="AutoShape 208">
            <a:extLst>
              <a:ext uri="{FF2B5EF4-FFF2-40B4-BE49-F238E27FC236}">
                <a16:creationId xmlns=""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368" name="直線コネクタ 367">
            <a:extLst>
              <a:ext uri="{FF2B5EF4-FFF2-40B4-BE49-F238E27FC236}">
                <a16:creationId xmlns="" xmlns:a16="http://schemas.microsoft.com/office/drawing/2014/main" id="{00000000-0008-0000-0100-00002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369" name="直線コネクタ 368">
            <a:extLst>
              <a:ext uri="{FF2B5EF4-FFF2-40B4-BE49-F238E27FC236}">
                <a16:creationId xmlns="" xmlns:a16="http://schemas.microsoft.com/office/drawing/2014/main" id="{00000000-0008-0000-0100-00002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9525</xdr:colOff>
      <xdr:row>39</xdr:row>
      <xdr:rowOff>76200</xdr:rowOff>
    </xdr:from>
    <xdr:to>
      <xdr:col>35</xdr:col>
      <xdr:colOff>9525</xdr:colOff>
      <xdr:row>40</xdr:row>
      <xdr:rowOff>190500</xdr:rowOff>
    </xdr:to>
    <xdr:grpSp>
      <xdr:nvGrpSpPr>
        <xdr:cNvPr id="370" name="グループ化 369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0051596" y="10594521"/>
          <a:ext cx="625929" cy="372836"/>
          <a:chOff x="5076825" y="1771650"/>
          <a:chExt cx="628650" cy="371475"/>
        </a:xfrm>
      </xdr:grpSpPr>
      <xdr:sp macro="" textlink="">
        <xdr:nvSpPr>
          <xdr:cNvPr id="371" name="AutoShape 208">
            <a:extLst>
              <a:ext uri="{FF2B5EF4-FFF2-40B4-BE49-F238E27FC236}">
                <a16:creationId xmlns="" xmlns:a16="http://schemas.microsoft.com/office/drawing/2014/main" id="{00000000-0008-0000-0100-0000A01A01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372" name="直線コネクタ 371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373" name="直線コネクタ 372">
            <a:extLst>
              <a:ext uri="{FF2B5EF4-FFF2-40B4-BE49-F238E27FC236}">
                <a16:creationId xmlns="" xmlns:a16="http://schemas.microsoft.com/office/drawing/2014/main" id="{00000000-0008-0000-0100-000024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39</xdr:row>
      <xdr:rowOff>76200</xdr:rowOff>
    </xdr:from>
    <xdr:to>
      <xdr:col>35</xdr:col>
      <xdr:colOff>0</xdr:colOff>
      <xdr:row>40</xdr:row>
      <xdr:rowOff>190500</xdr:rowOff>
    </xdr:to>
    <xdr:grpSp>
      <xdr:nvGrpSpPr>
        <xdr:cNvPr id="374" name="グループ化 373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GrpSpPr/>
      </xdr:nvGrpSpPr>
      <xdr:grpSpPr>
        <a:xfrm>
          <a:off x="10042071" y="10594521"/>
          <a:ext cx="625929" cy="372836"/>
          <a:chOff x="5076825" y="1771650"/>
          <a:chExt cx="628650" cy="371475"/>
        </a:xfrm>
      </xdr:grpSpPr>
      <xdr:sp macro="" textlink="">
        <xdr:nvSpPr>
          <xdr:cNvPr id="375" name="AutoShape 208">
            <a:extLst>
              <a:ext uri="{FF2B5EF4-FFF2-40B4-BE49-F238E27FC236}">
                <a16:creationId xmlns=""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376" name="直線コネクタ 375">
            <a:extLst>
              <a:ext uri="{FF2B5EF4-FFF2-40B4-BE49-F238E27FC236}">
                <a16:creationId xmlns="" xmlns:a16="http://schemas.microsoft.com/office/drawing/2014/main" id="{00000000-0008-0000-0100-00002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377" name="直線コネクタ 376">
            <a:extLst>
              <a:ext uri="{FF2B5EF4-FFF2-40B4-BE49-F238E27FC236}">
                <a16:creationId xmlns="" xmlns:a16="http://schemas.microsoft.com/office/drawing/2014/main" id="{00000000-0008-0000-0100-00002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9525</xdr:colOff>
      <xdr:row>42</xdr:row>
      <xdr:rowOff>76200</xdr:rowOff>
    </xdr:from>
    <xdr:to>
      <xdr:col>18</xdr:col>
      <xdr:colOff>9525</xdr:colOff>
      <xdr:row>43</xdr:row>
      <xdr:rowOff>190500</xdr:rowOff>
    </xdr:to>
    <xdr:grpSp>
      <xdr:nvGrpSpPr>
        <xdr:cNvPr id="378" name="グループ化 377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5207454" y="11370129"/>
          <a:ext cx="625928" cy="372835"/>
          <a:chOff x="5076825" y="1771650"/>
          <a:chExt cx="628650" cy="371475"/>
        </a:xfrm>
      </xdr:grpSpPr>
      <xdr:sp macro="" textlink="">
        <xdr:nvSpPr>
          <xdr:cNvPr id="379" name="AutoShape 208">
            <a:extLst>
              <a:ext uri="{FF2B5EF4-FFF2-40B4-BE49-F238E27FC236}">
                <a16:creationId xmlns="" xmlns:a16="http://schemas.microsoft.com/office/drawing/2014/main" id="{00000000-0008-0000-0100-0000A01A01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380" name="直線コネクタ 379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381" name="直線コネクタ 380">
            <a:extLst>
              <a:ext uri="{FF2B5EF4-FFF2-40B4-BE49-F238E27FC236}">
                <a16:creationId xmlns="" xmlns:a16="http://schemas.microsoft.com/office/drawing/2014/main" id="{00000000-0008-0000-0100-000024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16</xdr:col>
      <xdr:colOff>0</xdr:colOff>
      <xdr:row>42</xdr:row>
      <xdr:rowOff>76200</xdr:rowOff>
    </xdr:from>
    <xdr:to>
      <xdr:col>18</xdr:col>
      <xdr:colOff>0</xdr:colOff>
      <xdr:row>43</xdr:row>
      <xdr:rowOff>190500</xdr:rowOff>
    </xdr:to>
    <xdr:grpSp>
      <xdr:nvGrpSpPr>
        <xdr:cNvPr id="382" name="グループ化 381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GrpSpPr/>
      </xdr:nvGrpSpPr>
      <xdr:grpSpPr>
        <a:xfrm>
          <a:off x="5197929" y="11370129"/>
          <a:ext cx="625928" cy="372835"/>
          <a:chOff x="5076825" y="1771650"/>
          <a:chExt cx="628650" cy="371475"/>
        </a:xfrm>
      </xdr:grpSpPr>
      <xdr:sp macro="" textlink="">
        <xdr:nvSpPr>
          <xdr:cNvPr id="383" name="AutoShape 208">
            <a:extLst>
              <a:ext uri="{FF2B5EF4-FFF2-40B4-BE49-F238E27FC236}">
                <a16:creationId xmlns=""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384" name="直線コネクタ 383">
            <a:extLst>
              <a:ext uri="{FF2B5EF4-FFF2-40B4-BE49-F238E27FC236}">
                <a16:creationId xmlns="" xmlns:a16="http://schemas.microsoft.com/office/drawing/2014/main" id="{00000000-0008-0000-0100-00002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385" name="直線コネクタ 384">
            <a:extLst>
              <a:ext uri="{FF2B5EF4-FFF2-40B4-BE49-F238E27FC236}">
                <a16:creationId xmlns="" xmlns:a16="http://schemas.microsoft.com/office/drawing/2014/main" id="{00000000-0008-0000-0100-00002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9525</xdr:colOff>
      <xdr:row>42</xdr:row>
      <xdr:rowOff>76200</xdr:rowOff>
    </xdr:from>
    <xdr:to>
      <xdr:col>35</xdr:col>
      <xdr:colOff>9525</xdr:colOff>
      <xdr:row>43</xdr:row>
      <xdr:rowOff>190500</xdr:rowOff>
    </xdr:to>
    <xdr:grpSp>
      <xdr:nvGrpSpPr>
        <xdr:cNvPr id="386" name="グループ化 385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0051596" y="11370129"/>
          <a:ext cx="625929" cy="372835"/>
          <a:chOff x="5076825" y="1771650"/>
          <a:chExt cx="628650" cy="371475"/>
        </a:xfrm>
      </xdr:grpSpPr>
      <xdr:sp macro="" textlink="">
        <xdr:nvSpPr>
          <xdr:cNvPr id="387" name="AutoShape 208">
            <a:extLst>
              <a:ext uri="{FF2B5EF4-FFF2-40B4-BE49-F238E27FC236}">
                <a16:creationId xmlns="" xmlns:a16="http://schemas.microsoft.com/office/drawing/2014/main" id="{00000000-0008-0000-0100-0000A01A01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388" name="直線コネクタ 387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389" name="直線コネクタ 388">
            <a:extLst>
              <a:ext uri="{FF2B5EF4-FFF2-40B4-BE49-F238E27FC236}">
                <a16:creationId xmlns="" xmlns:a16="http://schemas.microsoft.com/office/drawing/2014/main" id="{00000000-0008-0000-0100-000024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33</xdr:col>
      <xdr:colOff>0</xdr:colOff>
      <xdr:row>42</xdr:row>
      <xdr:rowOff>76200</xdr:rowOff>
    </xdr:from>
    <xdr:to>
      <xdr:col>35</xdr:col>
      <xdr:colOff>0</xdr:colOff>
      <xdr:row>43</xdr:row>
      <xdr:rowOff>190500</xdr:rowOff>
    </xdr:to>
    <xdr:grpSp>
      <xdr:nvGrpSpPr>
        <xdr:cNvPr id="390" name="グループ化 389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GrpSpPr/>
      </xdr:nvGrpSpPr>
      <xdr:grpSpPr>
        <a:xfrm>
          <a:off x="10042071" y="11370129"/>
          <a:ext cx="625929" cy="372835"/>
          <a:chOff x="5076825" y="1771650"/>
          <a:chExt cx="628650" cy="371475"/>
        </a:xfrm>
      </xdr:grpSpPr>
      <xdr:sp macro="" textlink="">
        <xdr:nvSpPr>
          <xdr:cNvPr id="391" name="AutoShape 208">
            <a:extLst>
              <a:ext uri="{FF2B5EF4-FFF2-40B4-BE49-F238E27FC236}">
                <a16:creationId xmlns=""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392" name="直線コネクタ 391">
            <a:extLst>
              <a:ext uri="{FF2B5EF4-FFF2-40B4-BE49-F238E27FC236}">
                <a16:creationId xmlns="" xmlns:a16="http://schemas.microsoft.com/office/drawing/2014/main" id="{00000000-0008-0000-0100-00002E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393" name="直線コネクタ 392">
            <a:extLst>
              <a:ext uri="{FF2B5EF4-FFF2-40B4-BE49-F238E27FC236}">
                <a16:creationId xmlns="" xmlns:a16="http://schemas.microsoft.com/office/drawing/2014/main" id="{00000000-0008-0000-0100-00002F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9525</xdr:colOff>
      <xdr:row>12</xdr:row>
      <xdr:rowOff>66675</xdr:rowOff>
    </xdr:from>
    <xdr:to>
      <xdr:col>36</xdr:col>
      <xdr:colOff>190500</xdr:colOff>
      <xdr:row>13</xdr:row>
      <xdr:rowOff>123825</xdr:rowOff>
    </xdr:to>
    <xdr:sp macro="" textlink="">
      <xdr:nvSpPr>
        <xdr:cNvPr id="2" name="AutoShape 22">
          <a:extLst>
            <a:ext uri="{FF2B5EF4-FFF2-40B4-BE49-F238E27FC236}">
              <a16:creationId xmlns="" xmlns:a16="http://schemas.microsoft.com/office/drawing/2014/main" id="{00000000-0008-0000-0300-0000F0120100}"/>
            </a:ext>
          </a:extLst>
        </xdr:cNvPr>
        <xdr:cNvSpPr>
          <a:spLocks noChangeArrowheads="1"/>
        </xdr:cNvSpPr>
      </xdr:nvSpPr>
      <xdr:spPr bwMode="auto">
        <a:xfrm>
          <a:off x="5781675" y="2790825"/>
          <a:ext cx="600075" cy="2381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14</xdr:row>
      <xdr:rowOff>66675</xdr:rowOff>
    </xdr:from>
    <xdr:to>
      <xdr:col>36</xdr:col>
      <xdr:colOff>190500</xdr:colOff>
      <xdr:row>15</xdr:row>
      <xdr:rowOff>133350</xdr:rowOff>
    </xdr:to>
    <xdr:sp macro="" textlink="">
      <xdr:nvSpPr>
        <xdr:cNvPr id="3" name="AutoShape 33">
          <a:extLst>
            <a:ext uri="{FF2B5EF4-FFF2-40B4-BE49-F238E27FC236}">
              <a16:creationId xmlns="" xmlns:a16="http://schemas.microsoft.com/office/drawing/2014/main" id="{00000000-0008-0000-0300-0000F4120100}"/>
            </a:ext>
          </a:extLst>
        </xdr:cNvPr>
        <xdr:cNvSpPr>
          <a:spLocks noChangeArrowheads="1"/>
        </xdr:cNvSpPr>
      </xdr:nvSpPr>
      <xdr:spPr bwMode="auto">
        <a:xfrm>
          <a:off x="5781675" y="3143250"/>
          <a:ext cx="600075" cy="2381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18</xdr:row>
      <xdr:rowOff>66675</xdr:rowOff>
    </xdr:from>
    <xdr:to>
      <xdr:col>36</xdr:col>
      <xdr:colOff>190500</xdr:colOff>
      <xdr:row>19</xdr:row>
      <xdr:rowOff>133350</xdr:rowOff>
    </xdr:to>
    <xdr:sp macro="" textlink="">
      <xdr:nvSpPr>
        <xdr:cNvPr id="4" name="AutoShape 34">
          <a:extLst>
            <a:ext uri="{FF2B5EF4-FFF2-40B4-BE49-F238E27FC236}">
              <a16:creationId xmlns="" xmlns:a16="http://schemas.microsoft.com/office/drawing/2014/main" id="{00000000-0008-0000-0300-0000F5120100}"/>
            </a:ext>
          </a:extLst>
        </xdr:cNvPr>
        <xdr:cNvSpPr>
          <a:spLocks noChangeArrowheads="1"/>
        </xdr:cNvSpPr>
      </xdr:nvSpPr>
      <xdr:spPr bwMode="auto">
        <a:xfrm>
          <a:off x="5781675" y="3829050"/>
          <a:ext cx="600075" cy="2381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20</xdr:row>
      <xdr:rowOff>0</xdr:rowOff>
    </xdr:from>
    <xdr:to>
      <xdr:col>36</xdr:col>
      <xdr:colOff>190500</xdr:colOff>
      <xdr:row>20</xdr:row>
      <xdr:rowOff>0</xdr:rowOff>
    </xdr:to>
    <xdr:sp macro="" textlink="">
      <xdr:nvSpPr>
        <xdr:cNvPr id="5" name="AutoShape 35">
          <a:extLst>
            <a:ext uri="{FF2B5EF4-FFF2-40B4-BE49-F238E27FC236}">
              <a16:creationId xmlns="" xmlns:a16="http://schemas.microsoft.com/office/drawing/2014/main" id="{00000000-0008-0000-0300-0000F6120100}"/>
            </a:ext>
          </a:extLst>
        </xdr:cNvPr>
        <xdr:cNvSpPr>
          <a:spLocks noChangeArrowheads="1"/>
        </xdr:cNvSpPr>
      </xdr:nvSpPr>
      <xdr:spPr bwMode="auto">
        <a:xfrm>
          <a:off x="5781675" y="4105275"/>
          <a:ext cx="60007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20</xdr:row>
      <xdr:rowOff>0</xdr:rowOff>
    </xdr:from>
    <xdr:to>
      <xdr:col>36</xdr:col>
      <xdr:colOff>190500</xdr:colOff>
      <xdr:row>20</xdr:row>
      <xdr:rowOff>0</xdr:rowOff>
    </xdr:to>
    <xdr:sp macro="" textlink="">
      <xdr:nvSpPr>
        <xdr:cNvPr id="6" name="AutoShape 36">
          <a:extLst>
            <a:ext uri="{FF2B5EF4-FFF2-40B4-BE49-F238E27FC236}">
              <a16:creationId xmlns="" xmlns:a16="http://schemas.microsoft.com/office/drawing/2014/main" id="{00000000-0008-0000-0300-0000F7120100}"/>
            </a:ext>
          </a:extLst>
        </xdr:cNvPr>
        <xdr:cNvSpPr>
          <a:spLocks noChangeArrowheads="1"/>
        </xdr:cNvSpPr>
      </xdr:nvSpPr>
      <xdr:spPr bwMode="auto">
        <a:xfrm>
          <a:off x="5781675" y="4105275"/>
          <a:ext cx="60007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20</xdr:row>
      <xdr:rowOff>0</xdr:rowOff>
    </xdr:from>
    <xdr:to>
      <xdr:col>36</xdr:col>
      <xdr:colOff>190500</xdr:colOff>
      <xdr:row>20</xdr:row>
      <xdr:rowOff>0</xdr:rowOff>
    </xdr:to>
    <xdr:sp macro="" textlink="">
      <xdr:nvSpPr>
        <xdr:cNvPr id="7" name="AutoShape 37">
          <a:extLst>
            <a:ext uri="{FF2B5EF4-FFF2-40B4-BE49-F238E27FC236}">
              <a16:creationId xmlns="" xmlns:a16="http://schemas.microsoft.com/office/drawing/2014/main" id="{00000000-0008-0000-0300-0000F8120100}"/>
            </a:ext>
          </a:extLst>
        </xdr:cNvPr>
        <xdr:cNvSpPr>
          <a:spLocks noChangeArrowheads="1"/>
        </xdr:cNvSpPr>
      </xdr:nvSpPr>
      <xdr:spPr bwMode="auto">
        <a:xfrm>
          <a:off x="5781675" y="4105275"/>
          <a:ext cx="60007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20</xdr:row>
      <xdr:rowOff>0</xdr:rowOff>
    </xdr:from>
    <xdr:to>
      <xdr:col>36</xdr:col>
      <xdr:colOff>190500</xdr:colOff>
      <xdr:row>20</xdr:row>
      <xdr:rowOff>0</xdr:rowOff>
    </xdr:to>
    <xdr:sp macro="" textlink="">
      <xdr:nvSpPr>
        <xdr:cNvPr id="8" name="AutoShape 38">
          <a:extLst>
            <a:ext uri="{FF2B5EF4-FFF2-40B4-BE49-F238E27FC236}">
              <a16:creationId xmlns="" xmlns:a16="http://schemas.microsoft.com/office/drawing/2014/main" id="{00000000-0008-0000-0300-0000F9120100}"/>
            </a:ext>
          </a:extLst>
        </xdr:cNvPr>
        <xdr:cNvSpPr>
          <a:spLocks noChangeArrowheads="1"/>
        </xdr:cNvSpPr>
      </xdr:nvSpPr>
      <xdr:spPr bwMode="auto">
        <a:xfrm>
          <a:off x="5781675" y="4105275"/>
          <a:ext cx="60007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20</xdr:row>
      <xdr:rowOff>0</xdr:rowOff>
    </xdr:from>
    <xdr:to>
      <xdr:col>36</xdr:col>
      <xdr:colOff>190500</xdr:colOff>
      <xdr:row>20</xdr:row>
      <xdr:rowOff>0</xdr:rowOff>
    </xdr:to>
    <xdr:sp macro="" textlink="">
      <xdr:nvSpPr>
        <xdr:cNvPr id="9" name="AutoShape 39">
          <a:extLst>
            <a:ext uri="{FF2B5EF4-FFF2-40B4-BE49-F238E27FC236}">
              <a16:creationId xmlns="" xmlns:a16="http://schemas.microsoft.com/office/drawing/2014/main" id="{00000000-0008-0000-0300-0000FA120100}"/>
            </a:ext>
          </a:extLst>
        </xdr:cNvPr>
        <xdr:cNvSpPr>
          <a:spLocks noChangeArrowheads="1"/>
        </xdr:cNvSpPr>
      </xdr:nvSpPr>
      <xdr:spPr bwMode="auto">
        <a:xfrm>
          <a:off x="5781675" y="4105275"/>
          <a:ext cx="60007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20</xdr:row>
      <xdr:rowOff>0</xdr:rowOff>
    </xdr:from>
    <xdr:to>
      <xdr:col>36</xdr:col>
      <xdr:colOff>190500</xdr:colOff>
      <xdr:row>20</xdr:row>
      <xdr:rowOff>0</xdr:rowOff>
    </xdr:to>
    <xdr:sp macro="" textlink="">
      <xdr:nvSpPr>
        <xdr:cNvPr id="10" name="AutoShape 40">
          <a:extLst>
            <a:ext uri="{FF2B5EF4-FFF2-40B4-BE49-F238E27FC236}">
              <a16:creationId xmlns="" xmlns:a16="http://schemas.microsoft.com/office/drawing/2014/main" id="{00000000-0008-0000-0300-0000FB120100}"/>
            </a:ext>
          </a:extLst>
        </xdr:cNvPr>
        <xdr:cNvSpPr>
          <a:spLocks noChangeArrowheads="1"/>
        </xdr:cNvSpPr>
      </xdr:nvSpPr>
      <xdr:spPr bwMode="auto">
        <a:xfrm>
          <a:off x="5781675" y="4105275"/>
          <a:ext cx="60007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20</xdr:row>
      <xdr:rowOff>0</xdr:rowOff>
    </xdr:from>
    <xdr:to>
      <xdr:col>36</xdr:col>
      <xdr:colOff>190500</xdr:colOff>
      <xdr:row>20</xdr:row>
      <xdr:rowOff>0</xdr:rowOff>
    </xdr:to>
    <xdr:sp macro="" textlink="">
      <xdr:nvSpPr>
        <xdr:cNvPr id="11" name="AutoShape 41">
          <a:extLst>
            <a:ext uri="{FF2B5EF4-FFF2-40B4-BE49-F238E27FC236}">
              <a16:creationId xmlns="" xmlns:a16="http://schemas.microsoft.com/office/drawing/2014/main" id="{00000000-0008-0000-0300-0000FC120100}"/>
            </a:ext>
          </a:extLst>
        </xdr:cNvPr>
        <xdr:cNvSpPr>
          <a:spLocks noChangeArrowheads="1"/>
        </xdr:cNvSpPr>
      </xdr:nvSpPr>
      <xdr:spPr bwMode="auto">
        <a:xfrm>
          <a:off x="5781675" y="4105275"/>
          <a:ext cx="60007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16</xdr:row>
      <xdr:rowOff>66675</xdr:rowOff>
    </xdr:from>
    <xdr:to>
      <xdr:col>36</xdr:col>
      <xdr:colOff>190500</xdr:colOff>
      <xdr:row>17</xdr:row>
      <xdr:rowOff>133350</xdr:rowOff>
    </xdr:to>
    <xdr:sp macro="" textlink="">
      <xdr:nvSpPr>
        <xdr:cNvPr id="12" name="AutoShape 34">
          <a:extLst>
            <a:ext uri="{FF2B5EF4-FFF2-40B4-BE49-F238E27FC236}">
              <a16:creationId xmlns="" xmlns:a16="http://schemas.microsoft.com/office/drawing/2014/main" id="{00000000-0008-0000-0300-0000F5120100}"/>
            </a:ext>
          </a:extLst>
        </xdr:cNvPr>
        <xdr:cNvSpPr>
          <a:spLocks noChangeArrowheads="1"/>
        </xdr:cNvSpPr>
      </xdr:nvSpPr>
      <xdr:spPr bwMode="auto">
        <a:xfrm>
          <a:off x="5781675" y="3486150"/>
          <a:ext cx="600075" cy="2381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171450</xdr:colOff>
      <xdr:row>28</xdr:row>
      <xdr:rowOff>66675</xdr:rowOff>
    </xdr:from>
    <xdr:to>
      <xdr:col>11</xdr:col>
      <xdr:colOff>28575</xdr:colOff>
      <xdr:row>29</xdr:row>
      <xdr:rowOff>114300</xdr:rowOff>
    </xdr:to>
    <xdr:sp macro="" textlink="">
      <xdr:nvSpPr>
        <xdr:cNvPr id="13" name="AutoShape 2">
          <a:extLst>
            <a:ext uri="{FF2B5EF4-FFF2-40B4-BE49-F238E27FC236}">
              <a16:creationId xmlns="" xmlns:a16="http://schemas.microsoft.com/office/drawing/2014/main" id="{00000000-0008-0000-0200-00002D1E0100}"/>
            </a:ext>
          </a:extLst>
        </xdr:cNvPr>
        <xdr:cNvSpPr>
          <a:spLocks noChangeArrowheads="1"/>
        </xdr:cNvSpPr>
      </xdr:nvSpPr>
      <xdr:spPr bwMode="auto">
        <a:xfrm>
          <a:off x="1581150" y="5629275"/>
          <a:ext cx="390525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171450</xdr:colOff>
      <xdr:row>28</xdr:row>
      <xdr:rowOff>76200</xdr:rowOff>
    </xdr:from>
    <xdr:to>
      <xdr:col>16</xdr:col>
      <xdr:colOff>19050</xdr:colOff>
      <xdr:row>29</xdr:row>
      <xdr:rowOff>123825</xdr:rowOff>
    </xdr:to>
    <xdr:sp macro="" textlink="">
      <xdr:nvSpPr>
        <xdr:cNvPr id="14" name="AutoShape 3">
          <a:extLst>
            <a:ext uri="{FF2B5EF4-FFF2-40B4-BE49-F238E27FC236}">
              <a16:creationId xmlns="" xmlns:a16="http://schemas.microsoft.com/office/drawing/2014/main" id="{00000000-0008-0000-0200-00002E1E0100}"/>
            </a:ext>
          </a:extLst>
        </xdr:cNvPr>
        <xdr:cNvSpPr>
          <a:spLocks noChangeArrowheads="1"/>
        </xdr:cNvSpPr>
      </xdr:nvSpPr>
      <xdr:spPr bwMode="auto">
        <a:xfrm>
          <a:off x="2305050" y="5638800"/>
          <a:ext cx="381000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171450</xdr:colOff>
      <xdr:row>28</xdr:row>
      <xdr:rowOff>66675</xdr:rowOff>
    </xdr:from>
    <xdr:to>
      <xdr:col>21</xdr:col>
      <xdr:colOff>19050</xdr:colOff>
      <xdr:row>29</xdr:row>
      <xdr:rowOff>114300</xdr:rowOff>
    </xdr:to>
    <xdr:sp macro="" textlink="">
      <xdr:nvSpPr>
        <xdr:cNvPr id="15" name="AutoShape 4">
          <a:extLst>
            <a:ext uri="{FF2B5EF4-FFF2-40B4-BE49-F238E27FC236}">
              <a16:creationId xmlns="" xmlns:a16="http://schemas.microsoft.com/office/drawing/2014/main" id="{00000000-0008-0000-0200-00002F1E0100}"/>
            </a:ext>
          </a:extLst>
        </xdr:cNvPr>
        <xdr:cNvSpPr>
          <a:spLocks noChangeArrowheads="1"/>
        </xdr:cNvSpPr>
      </xdr:nvSpPr>
      <xdr:spPr bwMode="auto">
        <a:xfrm>
          <a:off x="3028950" y="5629275"/>
          <a:ext cx="381000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171450</xdr:colOff>
      <xdr:row>31</xdr:row>
      <xdr:rowOff>66675</xdr:rowOff>
    </xdr:from>
    <xdr:to>
      <xdr:col>6</xdr:col>
      <xdr:colOff>19050</xdr:colOff>
      <xdr:row>32</xdr:row>
      <xdr:rowOff>114300</xdr:rowOff>
    </xdr:to>
    <xdr:sp macro="" textlink="">
      <xdr:nvSpPr>
        <xdr:cNvPr id="16" name="AutoShape 6">
          <a:extLst>
            <a:ext uri="{FF2B5EF4-FFF2-40B4-BE49-F238E27FC236}">
              <a16:creationId xmlns="" xmlns:a16="http://schemas.microsoft.com/office/drawing/2014/main" id="{00000000-0008-0000-0200-0000301E0100}"/>
            </a:ext>
          </a:extLst>
        </xdr:cNvPr>
        <xdr:cNvSpPr>
          <a:spLocks noChangeArrowheads="1"/>
        </xdr:cNvSpPr>
      </xdr:nvSpPr>
      <xdr:spPr bwMode="auto">
        <a:xfrm>
          <a:off x="857250" y="6200775"/>
          <a:ext cx="381000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171450</xdr:colOff>
      <xdr:row>31</xdr:row>
      <xdr:rowOff>66675</xdr:rowOff>
    </xdr:from>
    <xdr:to>
      <xdr:col>16</xdr:col>
      <xdr:colOff>28575</xdr:colOff>
      <xdr:row>32</xdr:row>
      <xdr:rowOff>114300</xdr:rowOff>
    </xdr:to>
    <xdr:sp macro="" textlink="">
      <xdr:nvSpPr>
        <xdr:cNvPr id="17" name="AutoShape 7">
          <a:extLst>
            <a:ext uri="{FF2B5EF4-FFF2-40B4-BE49-F238E27FC236}">
              <a16:creationId xmlns="" xmlns:a16="http://schemas.microsoft.com/office/drawing/2014/main" id="{00000000-0008-0000-0200-0000311E0100}"/>
            </a:ext>
          </a:extLst>
        </xdr:cNvPr>
        <xdr:cNvSpPr>
          <a:spLocks noChangeArrowheads="1"/>
        </xdr:cNvSpPr>
      </xdr:nvSpPr>
      <xdr:spPr bwMode="auto">
        <a:xfrm>
          <a:off x="2305050" y="6200775"/>
          <a:ext cx="390525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171450</xdr:colOff>
      <xdr:row>31</xdr:row>
      <xdr:rowOff>66675</xdr:rowOff>
    </xdr:from>
    <xdr:to>
      <xdr:col>21</xdr:col>
      <xdr:colOff>19050</xdr:colOff>
      <xdr:row>32</xdr:row>
      <xdr:rowOff>114300</xdr:rowOff>
    </xdr:to>
    <xdr:sp macro="" textlink="">
      <xdr:nvSpPr>
        <xdr:cNvPr id="18" name="AutoShape 8">
          <a:extLst>
            <a:ext uri="{FF2B5EF4-FFF2-40B4-BE49-F238E27FC236}">
              <a16:creationId xmlns="" xmlns:a16="http://schemas.microsoft.com/office/drawing/2014/main" id="{00000000-0008-0000-0200-0000321E0100}"/>
            </a:ext>
          </a:extLst>
        </xdr:cNvPr>
        <xdr:cNvSpPr>
          <a:spLocks noChangeArrowheads="1"/>
        </xdr:cNvSpPr>
      </xdr:nvSpPr>
      <xdr:spPr bwMode="auto">
        <a:xfrm>
          <a:off x="3028950" y="6200775"/>
          <a:ext cx="381000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171450</xdr:colOff>
      <xdr:row>34</xdr:row>
      <xdr:rowOff>66675</xdr:rowOff>
    </xdr:from>
    <xdr:to>
      <xdr:col>6</xdr:col>
      <xdr:colOff>19050</xdr:colOff>
      <xdr:row>35</xdr:row>
      <xdr:rowOff>114300</xdr:rowOff>
    </xdr:to>
    <xdr:sp macro="" textlink="">
      <xdr:nvSpPr>
        <xdr:cNvPr id="19" name="AutoShape 10">
          <a:extLst>
            <a:ext uri="{FF2B5EF4-FFF2-40B4-BE49-F238E27FC236}">
              <a16:creationId xmlns="" xmlns:a16="http://schemas.microsoft.com/office/drawing/2014/main" id="{00000000-0008-0000-0200-0000331E0100}"/>
            </a:ext>
          </a:extLst>
        </xdr:cNvPr>
        <xdr:cNvSpPr>
          <a:spLocks noChangeArrowheads="1"/>
        </xdr:cNvSpPr>
      </xdr:nvSpPr>
      <xdr:spPr bwMode="auto">
        <a:xfrm>
          <a:off x="857250" y="6772275"/>
          <a:ext cx="381000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137832</xdr:colOff>
      <xdr:row>34</xdr:row>
      <xdr:rowOff>66675</xdr:rowOff>
    </xdr:from>
    <xdr:to>
      <xdr:col>10</xdr:col>
      <xdr:colOff>108697</xdr:colOff>
      <xdr:row>35</xdr:row>
      <xdr:rowOff>114300</xdr:rowOff>
    </xdr:to>
    <xdr:sp macro="" textlink="">
      <xdr:nvSpPr>
        <xdr:cNvPr id="20" name="AutoShape 11">
          <a:extLst>
            <a:ext uri="{FF2B5EF4-FFF2-40B4-BE49-F238E27FC236}">
              <a16:creationId xmlns="" xmlns:a16="http://schemas.microsoft.com/office/drawing/2014/main" id="{00000000-0008-0000-0200-0000341E0100}"/>
            </a:ext>
          </a:extLst>
        </xdr:cNvPr>
        <xdr:cNvSpPr>
          <a:spLocks noChangeArrowheads="1"/>
        </xdr:cNvSpPr>
      </xdr:nvSpPr>
      <xdr:spPr bwMode="auto">
        <a:xfrm>
          <a:off x="1547532" y="6772275"/>
          <a:ext cx="380440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171450</xdr:colOff>
      <xdr:row>34</xdr:row>
      <xdr:rowOff>66675</xdr:rowOff>
    </xdr:from>
    <xdr:to>
      <xdr:col>21</xdr:col>
      <xdr:colOff>19050</xdr:colOff>
      <xdr:row>35</xdr:row>
      <xdr:rowOff>114300</xdr:rowOff>
    </xdr:to>
    <xdr:sp macro="" textlink="">
      <xdr:nvSpPr>
        <xdr:cNvPr id="21" name="AutoShape 12">
          <a:extLst>
            <a:ext uri="{FF2B5EF4-FFF2-40B4-BE49-F238E27FC236}">
              <a16:creationId xmlns="" xmlns:a16="http://schemas.microsoft.com/office/drawing/2014/main" id="{00000000-0008-0000-0200-0000351E0100}"/>
            </a:ext>
          </a:extLst>
        </xdr:cNvPr>
        <xdr:cNvSpPr>
          <a:spLocks noChangeArrowheads="1"/>
        </xdr:cNvSpPr>
      </xdr:nvSpPr>
      <xdr:spPr bwMode="auto">
        <a:xfrm>
          <a:off x="3028950" y="6772275"/>
          <a:ext cx="381000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171450</xdr:colOff>
      <xdr:row>37</xdr:row>
      <xdr:rowOff>66675</xdr:rowOff>
    </xdr:from>
    <xdr:to>
      <xdr:col>6</xdr:col>
      <xdr:colOff>28575</xdr:colOff>
      <xdr:row>38</xdr:row>
      <xdr:rowOff>114300</xdr:rowOff>
    </xdr:to>
    <xdr:sp macro="" textlink="">
      <xdr:nvSpPr>
        <xdr:cNvPr id="22" name="AutoShape 14">
          <a:extLst>
            <a:ext uri="{FF2B5EF4-FFF2-40B4-BE49-F238E27FC236}">
              <a16:creationId xmlns="" xmlns:a16="http://schemas.microsoft.com/office/drawing/2014/main" id="{00000000-0008-0000-0200-0000361E0100}"/>
            </a:ext>
          </a:extLst>
        </xdr:cNvPr>
        <xdr:cNvSpPr>
          <a:spLocks noChangeArrowheads="1"/>
        </xdr:cNvSpPr>
      </xdr:nvSpPr>
      <xdr:spPr bwMode="auto">
        <a:xfrm>
          <a:off x="857250" y="7343775"/>
          <a:ext cx="390525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160244</xdr:colOff>
      <xdr:row>37</xdr:row>
      <xdr:rowOff>66675</xdr:rowOff>
    </xdr:from>
    <xdr:to>
      <xdr:col>11</xdr:col>
      <xdr:colOff>7844</xdr:colOff>
      <xdr:row>38</xdr:row>
      <xdr:rowOff>114300</xdr:rowOff>
    </xdr:to>
    <xdr:sp macro="" textlink="">
      <xdr:nvSpPr>
        <xdr:cNvPr id="23" name="AutoShape 15">
          <a:extLst>
            <a:ext uri="{FF2B5EF4-FFF2-40B4-BE49-F238E27FC236}">
              <a16:creationId xmlns="" xmlns:a16="http://schemas.microsoft.com/office/drawing/2014/main" id="{00000000-0008-0000-0200-0000371E0100}"/>
            </a:ext>
          </a:extLst>
        </xdr:cNvPr>
        <xdr:cNvSpPr>
          <a:spLocks noChangeArrowheads="1"/>
        </xdr:cNvSpPr>
      </xdr:nvSpPr>
      <xdr:spPr bwMode="auto">
        <a:xfrm>
          <a:off x="1569944" y="7343775"/>
          <a:ext cx="381000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12</xdr:col>
      <xdr:colOff>171450</xdr:colOff>
      <xdr:row>37</xdr:row>
      <xdr:rowOff>66675</xdr:rowOff>
    </xdr:from>
    <xdr:to>
      <xdr:col>16</xdr:col>
      <xdr:colOff>28575</xdr:colOff>
      <xdr:row>38</xdr:row>
      <xdr:rowOff>114300</xdr:rowOff>
    </xdr:to>
    <xdr:sp macro="" textlink="">
      <xdr:nvSpPr>
        <xdr:cNvPr id="24" name="AutoShape 16">
          <a:extLst>
            <a:ext uri="{FF2B5EF4-FFF2-40B4-BE49-F238E27FC236}">
              <a16:creationId xmlns="" xmlns:a16="http://schemas.microsoft.com/office/drawing/2014/main" id="{00000000-0008-0000-0200-0000381E0100}"/>
            </a:ext>
          </a:extLst>
        </xdr:cNvPr>
        <xdr:cNvSpPr>
          <a:spLocks noChangeArrowheads="1"/>
        </xdr:cNvSpPr>
      </xdr:nvSpPr>
      <xdr:spPr bwMode="auto">
        <a:xfrm>
          <a:off x="2305050" y="7343775"/>
          <a:ext cx="390525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12</xdr:row>
      <xdr:rowOff>66675</xdr:rowOff>
    </xdr:from>
    <xdr:to>
      <xdr:col>36</xdr:col>
      <xdr:colOff>190500</xdr:colOff>
      <xdr:row>13</xdr:row>
      <xdr:rowOff>123825</xdr:rowOff>
    </xdr:to>
    <xdr:sp macro="" textlink="">
      <xdr:nvSpPr>
        <xdr:cNvPr id="25" name="AutoShape 22">
          <a:extLst>
            <a:ext uri="{FF2B5EF4-FFF2-40B4-BE49-F238E27FC236}">
              <a16:creationId xmlns="" xmlns:a16="http://schemas.microsoft.com/office/drawing/2014/main" id="{00000000-0008-0000-0200-0000391E0100}"/>
            </a:ext>
          </a:extLst>
        </xdr:cNvPr>
        <xdr:cNvSpPr>
          <a:spLocks noChangeArrowheads="1"/>
        </xdr:cNvSpPr>
      </xdr:nvSpPr>
      <xdr:spPr bwMode="auto">
        <a:xfrm>
          <a:off x="5781675" y="2790825"/>
          <a:ext cx="600075" cy="2381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14</xdr:row>
      <xdr:rowOff>66675</xdr:rowOff>
    </xdr:from>
    <xdr:to>
      <xdr:col>36</xdr:col>
      <xdr:colOff>190500</xdr:colOff>
      <xdr:row>15</xdr:row>
      <xdr:rowOff>133350</xdr:rowOff>
    </xdr:to>
    <xdr:sp macro="" textlink="">
      <xdr:nvSpPr>
        <xdr:cNvPr id="26" name="AutoShape 33">
          <a:extLst>
            <a:ext uri="{FF2B5EF4-FFF2-40B4-BE49-F238E27FC236}">
              <a16:creationId xmlns="" xmlns:a16="http://schemas.microsoft.com/office/drawing/2014/main" id="{00000000-0008-0000-0200-00003C1E0100}"/>
            </a:ext>
          </a:extLst>
        </xdr:cNvPr>
        <xdr:cNvSpPr>
          <a:spLocks noChangeArrowheads="1"/>
        </xdr:cNvSpPr>
      </xdr:nvSpPr>
      <xdr:spPr bwMode="auto">
        <a:xfrm>
          <a:off x="5781675" y="3143250"/>
          <a:ext cx="600075" cy="2381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16</xdr:row>
      <xdr:rowOff>66675</xdr:rowOff>
    </xdr:from>
    <xdr:to>
      <xdr:col>36</xdr:col>
      <xdr:colOff>190500</xdr:colOff>
      <xdr:row>17</xdr:row>
      <xdr:rowOff>133350</xdr:rowOff>
    </xdr:to>
    <xdr:sp macro="" textlink="">
      <xdr:nvSpPr>
        <xdr:cNvPr id="27" name="AutoShape 34">
          <a:extLst>
            <a:ext uri="{FF2B5EF4-FFF2-40B4-BE49-F238E27FC236}">
              <a16:creationId xmlns="" xmlns:a16="http://schemas.microsoft.com/office/drawing/2014/main" id="{00000000-0008-0000-0200-00003D1E0100}"/>
            </a:ext>
          </a:extLst>
        </xdr:cNvPr>
        <xdr:cNvSpPr>
          <a:spLocks noChangeArrowheads="1"/>
        </xdr:cNvSpPr>
      </xdr:nvSpPr>
      <xdr:spPr bwMode="auto">
        <a:xfrm>
          <a:off x="5781675" y="3486150"/>
          <a:ext cx="600075" cy="2381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18</xdr:row>
      <xdr:rowOff>66675</xdr:rowOff>
    </xdr:from>
    <xdr:to>
      <xdr:col>36</xdr:col>
      <xdr:colOff>190500</xdr:colOff>
      <xdr:row>19</xdr:row>
      <xdr:rowOff>133350</xdr:rowOff>
    </xdr:to>
    <xdr:sp macro="" textlink="">
      <xdr:nvSpPr>
        <xdr:cNvPr id="28" name="AutoShape 35">
          <a:extLst>
            <a:ext uri="{FF2B5EF4-FFF2-40B4-BE49-F238E27FC236}">
              <a16:creationId xmlns="" xmlns:a16="http://schemas.microsoft.com/office/drawing/2014/main" id="{00000000-0008-0000-0200-00003E1E0100}"/>
            </a:ext>
          </a:extLst>
        </xdr:cNvPr>
        <xdr:cNvSpPr>
          <a:spLocks noChangeArrowheads="1"/>
        </xdr:cNvSpPr>
      </xdr:nvSpPr>
      <xdr:spPr bwMode="auto">
        <a:xfrm>
          <a:off x="5781675" y="3829050"/>
          <a:ext cx="600075" cy="2381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20</xdr:row>
      <xdr:rowOff>66675</xdr:rowOff>
    </xdr:from>
    <xdr:to>
      <xdr:col>36</xdr:col>
      <xdr:colOff>190500</xdr:colOff>
      <xdr:row>21</xdr:row>
      <xdr:rowOff>133350</xdr:rowOff>
    </xdr:to>
    <xdr:sp macro="" textlink="">
      <xdr:nvSpPr>
        <xdr:cNvPr id="29" name="AutoShape 36">
          <a:extLst>
            <a:ext uri="{FF2B5EF4-FFF2-40B4-BE49-F238E27FC236}">
              <a16:creationId xmlns="" xmlns:a16="http://schemas.microsoft.com/office/drawing/2014/main" id="{00000000-0008-0000-0200-00003F1E0100}"/>
            </a:ext>
          </a:extLst>
        </xdr:cNvPr>
        <xdr:cNvSpPr>
          <a:spLocks noChangeArrowheads="1"/>
        </xdr:cNvSpPr>
      </xdr:nvSpPr>
      <xdr:spPr bwMode="auto">
        <a:xfrm>
          <a:off x="5781675" y="4171950"/>
          <a:ext cx="600075" cy="2381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22</xdr:row>
      <xdr:rowOff>66675</xdr:rowOff>
    </xdr:from>
    <xdr:to>
      <xdr:col>36</xdr:col>
      <xdr:colOff>190500</xdr:colOff>
      <xdr:row>23</xdr:row>
      <xdr:rowOff>133350</xdr:rowOff>
    </xdr:to>
    <xdr:sp macro="" textlink="">
      <xdr:nvSpPr>
        <xdr:cNvPr id="30" name="AutoShape 37">
          <a:extLst>
            <a:ext uri="{FF2B5EF4-FFF2-40B4-BE49-F238E27FC236}">
              <a16:creationId xmlns="" xmlns:a16="http://schemas.microsoft.com/office/drawing/2014/main" id="{00000000-0008-0000-0200-0000401E0100}"/>
            </a:ext>
          </a:extLst>
        </xdr:cNvPr>
        <xdr:cNvSpPr>
          <a:spLocks noChangeArrowheads="1"/>
        </xdr:cNvSpPr>
      </xdr:nvSpPr>
      <xdr:spPr bwMode="auto">
        <a:xfrm>
          <a:off x="5781675" y="4514850"/>
          <a:ext cx="600075" cy="2381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24</xdr:row>
      <xdr:rowOff>0</xdr:rowOff>
    </xdr:from>
    <xdr:to>
      <xdr:col>36</xdr:col>
      <xdr:colOff>190500</xdr:colOff>
      <xdr:row>24</xdr:row>
      <xdr:rowOff>0</xdr:rowOff>
    </xdr:to>
    <xdr:sp macro="" textlink="">
      <xdr:nvSpPr>
        <xdr:cNvPr id="31" name="AutoShape 38">
          <a:extLst>
            <a:ext uri="{FF2B5EF4-FFF2-40B4-BE49-F238E27FC236}">
              <a16:creationId xmlns="" xmlns:a16="http://schemas.microsoft.com/office/drawing/2014/main" id="{00000000-0008-0000-0200-0000411E0100}"/>
            </a:ext>
          </a:extLst>
        </xdr:cNvPr>
        <xdr:cNvSpPr>
          <a:spLocks noChangeArrowheads="1"/>
        </xdr:cNvSpPr>
      </xdr:nvSpPr>
      <xdr:spPr bwMode="auto">
        <a:xfrm>
          <a:off x="5781675" y="4791075"/>
          <a:ext cx="60007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24</xdr:row>
      <xdr:rowOff>0</xdr:rowOff>
    </xdr:from>
    <xdr:to>
      <xdr:col>36</xdr:col>
      <xdr:colOff>190500</xdr:colOff>
      <xdr:row>24</xdr:row>
      <xdr:rowOff>0</xdr:rowOff>
    </xdr:to>
    <xdr:sp macro="" textlink="">
      <xdr:nvSpPr>
        <xdr:cNvPr id="32" name="AutoShape 39">
          <a:extLst>
            <a:ext uri="{FF2B5EF4-FFF2-40B4-BE49-F238E27FC236}">
              <a16:creationId xmlns="" xmlns:a16="http://schemas.microsoft.com/office/drawing/2014/main" id="{00000000-0008-0000-0200-0000421E0100}"/>
            </a:ext>
          </a:extLst>
        </xdr:cNvPr>
        <xdr:cNvSpPr>
          <a:spLocks noChangeArrowheads="1"/>
        </xdr:cNvSpPr>
      </xdr:nvSpPr>
      <xdr:spPr bwMode="auto">
        <a:xfrm>
          <a:off x="5781675" y="4791075"/>
          <a:ext cx="60007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24</xdr:row>
      <xdr:rowOff>0</xdr:rowOff>
    </xdr:from>
    <xdr:to>
      <xdr:col>36</xdr:col>
      <xdr:colOff>190500</xdr:colOff>
      <xdr:row>24</xdr:row>
      <xdr:rowOff>0</xdr:rowOff>
    </xdr:to>
    <xdr:sp macro="" textlink="">
      <xdr:nvSpPr>
        <xdr:cNvPr id="33" name="AutoShape 40">
          <a:extLst>
            <a:ext uri="{FF2B5EF4-FFF2-40B4-BE49-F238E27FC236}">
              <a16:creationId xmlns="" xmlns:a16="http://schemas.microsoft.com/office/drawing/2014/main" id="{00000000-0008-0000-0200-0000431E0100}"/>
            </a:ext>
          </a:extLst>
        </xdr:cNvPr>
        <xdr:cNvSpPr>
          <a:spLocks noChangeArrowheads="1"/>
        </xdr:cNvSpPr>
      </xdr:nvSpPr>
      <xdr:spPr bwMode="auto">
        <a:xfrm>
          <a:off x="5781675" y="4791075"/>
          <a:ext cx="60007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24</xdr:row>
      <xdr:rowOff>0</xdr:rowOff>
    </xdr:from>
    <xdr:to>
      <xdr:col>36</xdr:col>
      <xdr:colOff>190500</xdr:colOff>
      <xdr:row>24</xdr:row>
      <xdr:rowOff>0</xdr:rowOff>
    </xdr:to>
    <xdr:sp macro="" textlink="">
      <xdr:nvSpPr>
        <xdr:cNvPr id="34" name="AutoShape 41">
          <a:extLst>
            <a:ext uri="{FF2B5EF4-FFF2-40B4-BE49-F238E27FC236}">
              <a16:creationId xmlns="" xmlns:a16="http://schemas.microsoft.com/office/drawing/2014/main" id="{00000000-0008-0000-0200-0000441E0100}"/>
            </a:ext>
          </a:extLst>
        </xdr:cNvPr>
        <xdr:cNvSpPr>
          <a:spLocks noChangeArrowheads="1"/>
        </xdr:cNvSpPr>
      </xdr:nvSpPr>
      <xdr:spPr bwMode="auto">
        <a:xfrm>
          <a:off x="5781675" y="4791075"/>
          <a:ext cx="60007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9525</xdr:colOff>
      <xdr:row>8</xdr:row>
      <xdr:rowOff>200025</xdr:rowOff>
    </xdr:from>
    <xdr:to>
      <xdr:col>33</xdr:col>
      <xdr:colOff>161925</xdr:colOff>
      <xdr:row>8</xdr:row>
      <xdr:rowOff>200025</xdr:rowOff>
    </xdr:to>
    <xdr:sp macro="" textlink="">
      <xdr:nvSpPr>
        <xdr:cNvPr id="35" name="Line 24">
          <a:extLst>
            <a:ext uri="{FF2B5EF4-FFF2-40B4-BE49-F238E27FC236}">
              <a16:creationId xmlns="" xmlns:a16="http://schemas.microsoft.com/office/drawing/2014/main" id="{00000000-0008-0000-0200-00003A1E0100}"/>
            </a:ext>
          </a:extLst>
        </xdr:cNvPr>
        <xdr:cNvSpPr>
          <a:spLocks noChangeShapeType="1"/>
        </xdr:cNvSpPr>
      </xdr:nvSpPr>
      <xdr:spPr bwMode="auto">
        <a:xfrm flipH="1">
          <a:off x="4524375" y="2171700"/>
          <a:ext cx="120015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200025</xdr:colOff>
      <xdr:row>4</xdr:row>
      <xdr:rowOff>152400</xdr:rowOff>
    </xdr:from>
    <xdr:to>
      <xdr:col>33</xdr:col>
      <xdr:colOff>200025</xdr:colOff>
      <xdr:row>4</xdr:row>
      <xdr:rowOff>152400</xdr:rowOff>
    </xdr:to>
    <xdr:sp macro="" textlink="">
      <xdr:nvSpPr>
        <xdr:cNvPr id="36" name="Line 32">
          <a:extLst>
            <a:ext uri="{FF2B5EF4-FFF2-40B4-BE49-F238E27FC236}">
              <a16:creationId xmlns="" xmlns:a16="http://schemas.microsoft.com/office/drawing/2014/main" id="{00000000-0008-0000-0200-00003B1E0100}"/>
            </a:ext>
          </a:extLst>
        </xdr:cNvPr>
        <xdr:cNvSpPr>
          <a:spLocks noChangeShapeType="1"/>
        </xdr:cNvSpPr>
      </xdr:nvSpPr>
      <xdr:spPr bwMode="auto">
        <a:xfrm>
          <a:off x="4505325" y="1162050"/>
          <a:ext cx="125730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76200</xdr:colOff>
      <xdr:row>5</xdr:row>
      <xdr:rowOff>57150</xdr:rowOff>
    </xdr:from>
    <xdr:to>
      <xdr:col>34</xdr:col>
      <xdr:colOff>76200</xdr:colOff>
      <xdr:row>8</xdr:row>
      <xdr:rowOff>76200</xdr:rowOff>
    </xdr:to>
    <xdr:sp macro="" textlink="">
      <xdr:nvSpPr>
        <xdr:cNvPr id="37" name="Line 42">
          <a:extLst>
            <a:ext uri="{FF2B5EF4-FFF2-40B4-BE49-F238E27FC236}">
              <a16:creationId xmlns="" xmlns:a16="http://schemas.microsoft.com/office/drawing/2014/main" id="{00000000-0008-0000-0200-0000451E0100}"/>
            </a:ext>
          </a:extLst>
        </xdr:cNvPr>
        <xdr:cNvSpPr>
          <a:spLocks noChangeShapeType="1"/>
        </xdr:cNvSpPr>
      </xdr:nvSpPr>
      <xdr:spPr bwMode="auto">
        <a:xfrm>
          <a:off x="5848350" y="1257300"/>
          <a:ext cx="0" cy="79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123825</xdr:colOff>
      <xdr:row>5</xdr:row>
      <xdr:rowOff>47625</xdr:rowOff>
    </xdr:from>
    <xdr:to>
      <xdr:col>27</xdr:col>
      <xdr:colOff>123825</xdr:colOff>
      <xdr:row>8</xdr:row>
      <xdr:rowOff>85725</xdr:rowOff>
    </xdr:to>
    <xdr:sp macro="" textlink="">
      <xdr:nvSpPr>
        <xdr:cNvPr id="38" name="Line 43">
          <a:extLst>
            <a:ext uri="{FF2B5EF4-FFF2-40B4-BE49-F238E27FC236}">
              <a16:creationId xmlns="" xmlns:a16="http://schemas.microsoft.com/office/drawing/2014/main" id="{00000000-0008-0000-0200-0000461E0100}"/>
            </a:ext>
          </a:extLst>
        </xdr:cNvPr>
        <xdr:cNvSpPr>
          <a:spLocks noChangeShapeType="1"/>
        </xdr:cNvSpPr>
      </xdr:nvSpPr>
      <xdr:spPr bwMode="auto">
        <a:xfrm flipV="1">
          <a:off x="4429125" y="1247775"/>
          <a:ext cx="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38100</xdr:colOff>
      <xdr:row>5</xdr:row>
      <xdr:rowOff>114300</xdr:rowOff>
    </xdr:from>
    <xdr:to>
      <xdr:col>33</xdr:col>
      <xdr:colOff>171450</xdr:colOff>
      <xdr:row>8</xdr:row>
      <xdr:rowOff>114300</xdr:rowOff>
    </xdr:to>
    <xdr:sp macro="" textlink="">
      <xdr:nvSpPr>
        <xdr:cNvPr id="39" name="Line 44">
          <a:extLst>
            <a:ext uri="{FF2B5EF4-FFF2-40B4-BE49-F238E27FC236}">
              <a16:creationId xmlns="" xmlns:a16="http://schemas.microsoft.com/office/drawing/2014/main" id="{00000000-0008-0000-0200-0000471E0100}"/>
            </a:ext>
          </a:extLst>
        </xdr:cNvPr>
        <xdr:cNvSpPr>
          <a:spLocks noChangeShapeType="1"/>
        </xdr:cNvSpPr>
      </xdr:nvSpPr>
      <xdr:spPr bwMode="auto">
        <a:xfrm flipH="1">
          <a:off x="4552950" y="1314450"/>
          <a:ext cx="1181100" cy="771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0</xdr:colOff>
      <xdr:row>5</xdr:row>
      <xdr:rowOff>76200</xdr:rowOff>
    </xdr:from>
    <xdr:to>
      <xdr:col>34</xdr:col>
      <xdr:colOff>0</xdr:colOff>
      <xdr:row>8</xdr:row>
      <xdr:rowOff>123825</xdr:rowOff>
    </xdr:to>
    <xdr:sp macro="" textlink="">
      <xdr:nvSpPr>
        <xdr:cNvPr id="40" name="Line 45">
          <a:extLst>
            <a:ext uri="{FF2B5EF4-FFF2-40B4-BE49-F238E27FC236}">
              <a16:creationId xmlns="" xmlns:a16="http://schemas.microsoft.com/office/drawing/2014/main" id="{00000000-0008-0000-0200-0000481E0100}"/>
            </a:ext>
          </a:extLst>
        </xdr:cNvPr>
        <xdr:cNvSpPr>
          <a:spLocks noChangeShapeType="1"/>
        </xdr:cNvSpPr>
      </xdr:nvSpPr>
      <xdr:spPr bwMode="auto">
        <a:xfrm>
          <a:off x="4514850" y="1276350"/>
          <a:ext cx="1257300" cy="819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30</xdr:row>
      <xdr:rowOff>66675</xdr:rowOff>
    </xdr:from>
    <xdr:to>
      <xdr:col>11</xdr:col>
      <xdr:colOff>28575</xdr:colOff>
      <xdr:row>31</xdr:row>
      <xdr:rowOff>114300</xdr:rowOff>
    </xdr:to>
    <xdr:sp macro="" textlink="">
      <xdr:nvSpPr>
        <xdr:cNvPr id="2" name="AutoShape 2">
          <a:extLst>
            <a:ext uri="{FF2B5EF4-FFF2-40B4-BE49-F238E27FC236}">
              <a16:creationId xmlns="" xmlns:a16="http://schemas.microsoft.com/office/drawing/2014/main" id="{00000000-0008-0000-0200-00002D1E0100}"/>
            </a:ext>
          </a:extLst>
        </xdr:cNvPr>
        <xdr:cNvSpPr>
          <a:spLocks noChangeArrowheads="1"/>
        </xdr:cNvSpPr>
      </xdr:nvSpPr>
      <xdr:spPr bwMode="auto">
        <a:xfrm>
          <a:off x="1581150" y="6219825"/>
          <a:ext cx="390525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171450</xdr:colOff>
      <xdr:row>30</xdr:row>
      <xdr:rowOff>76200</xdr:rowOff>
    </xdr:from>
    <xdr:to>
      <xdr:col>16</xdr:col>
      <xdr:colOff>19050</xdr:colOff>
      <xdr:row>31</xdr:row>
      <xdr:rowOff>123825</xdr:rowOff>
    </xdr:to>
    <xdr:sp macro="" textlink="">
      <xdr:nvSpPr>
        <xdr:cNvPr id="3" name="AutoShape 3">
          <a:extLst>
            <a:ext uri="{FF2B5EF4-FFF2-40B4-BE49-F238E27FC236}">
              <a16:creationId xmlns="" xmlns:a16="http://schemas.microsoft.com/office/drawing/2014/main" id="{00000000-0008-0000-0200-00002E1E0100}"/>
            </a:ext>
          </a:extLst>
        </xdr:cNvPr>
        <xdr:cNvSpPr>
          <a:spLocks noChangeArrowheads="1"/>
        </xdr:cNvSpPr>
      </xdr:nvSpPr>
      <xdr:spPr bwMode="auto">
        <a:xfrm>
          <a:off x="2305050" y="6229350"/>
          <a:ext cx="381000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171450</xdr:colOff>
      <xdr:row>30</xdr:row>
      <xdr:rowOff>66675</xdr:rowOff>
    </xdr:from>
    <xdr:to>
      <xdr:col>21</xdr:col>
      <xdr:colOff>19050</xdr:colOff>
      <xdr:row>31</xdr:row>
      <xdr:rowOff>114300</xdr:rowOff>
    </xdr:to>
    <xdr:sp macro="" textlink="">
      <xdr:nvSpPr>
        <xdr:cNvPr id="4" name="AutoShape 4">
          <a:extLst>
            <a:ext uri="{FF2B5EF4-FFF2-40B4-BE49-F238E27FC236}">
              <a16:creationId xmlns="" xmlns:a16="http://schemas.microsoft.com/office/drawing/2014/main" id="{00000000-0008-0000-0200-00002F1E0100}"/>
            </a:ext>
          </a:extLst>
        </xdr:cNvPr>
        <xdr:cNvSpPr>
          <a:spLocks noChangeArrowheads="1"/>
        </xdr:cNvSpPr>
      </xdr:nvSpPr>
      <xdr:spPr bwMode="auto">
        <a:xfrm>
          <a:off x="3028950" y="6219825"/>
          <a:ext cx="381000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171450</xdr:colOff>
      <xdr:row>33</xdr:row>
      <xdr:rowOff>66675</xdr:rowOff>
    </xdr:from>
    <xdr:to>
      <xdr:col>6</xdr:col>
      <xdr:colOff>19050</xdr:colOff>
      <xdr:row>34</xdr:row>
      <xdr:rowOff>114300</xdr:rowOff>
    </xdr:to>
    <xdr:sp macro="" textlink="">
      <xdr:nvSpPr>
        <xdr:cNvPr id="5" name="AutoShape 6">
          <a:extLst>
            <a:ext uri="{FF2B5EF4-FFF2-40B4-BE49-F238E27FC236}">
              <a16:creationId xmlns="" xmlns:a16="http://schemas.microsoft.com/office/drawing/2014/main" id="{00000000-0008-0000-0200-0000301E0100}"/>
            </a:ext>
          </a:extLst>
        </xdr:cNvPr>
        <xdr:cNvSpPr>
          <a:spLocks noChangeArrowheads="1"/>
        </xdr:cNvSpPr>
      </xdr:nvSpPr>
      <xdr:spPr bwMode="auto">
        <a:xfrm>
          <a:off x="857250" y="6791325"/>
          <a:ext cx="381000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171450</xdr:colOff>
      <xdr:row>33</xdr:row>
      <xdr:rowOff>66675</xdr:rowOff>
    </xdr:from>
    <xdr:to>
      <xdr:col>16</xdr:col>
      <xdr:colOff>28575</xdr:colOff>
      <xdr:row>34</xdr:row>
      <xdr:rowOff>114300</xdr:rowOff>
    </xdr:to>
    <xdr:sp macro="" textlink="">
      <xdr:nvSpPr>
        <xdr:cNvPr id="6" name="AutoShape 7">
          <a:extLst>
            <a:ext uri="{FF2B5EF4-FFF2-40B4-BE49-F238E27FC236}">
              <a16:creationId xmlns="" xmlns:a16="http://schemas.microsoft.com/office/drawing/2014/main" id="{00000000-0008-0000-0200-0000311E0100}"/>
            </a:ext>
          </a:extLst>
        </xdr:cNvPr>
        <xdr:cNvSpPr>
          <a:spLocks noChangeArrowheads="1"/>
        </xdr:cNvSpPr>
      </xdr:nvSpPr>
      <xdr:spPr bwMode="auto">
        <a:xfrm>
          <a:off x="2305050" y="6791325"/>
          <a:ext cx="390525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171450</xdr:colOff>
      <xdr:row>33</xdr:row>
      <xdr:rowOff>66675</xdr:rowOff>
    </xdr:from>
    <xdr:to>
      <xdr:col>21</xdr:col>
      <xdr:colOff>19050</xdr:colOff>
      <xdr:row>34</xdr:row>
      <xdr:rowOff>114300</xdr:rowOff>
    </xdr:to>
    <xdr:sp macro="" textlink="">
      <xdr:nvSpPr>
        <xdr:cNvPr id="7" name="AutoShape 8">
          <a:extLst>
            <a:ext uri="{FF2B5EF4-FFF2-40B4-BE49-F238E27FC236}">
              <a16:creationId xmlns="" xmlns:a16="http://schemas.microsoft.com/office/drawing/2014/main" id="{00000000-0008-0000-0200-0000321E0100}"/>
            </a:ext>
          </a:extLst>
        </xdr:cNvPr>
        <xdr:cNvSpPr>
          <a:spLocks noChangeArrowheads="1"/>
        </xdr:cNvSpPr>
      </xdr:nvSpPr>
      <xdr:spPr bwMode="auto">
        <a:xfrm>
          <a:off x="3028950" y="6791325"/>
          <a:ext cx="381000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171450</xdr:colOff>
      <xdr:row>36</xdr:row>
      <xdr:rowOff>66675</xdr:rowOff>
    </xdr:from>
    <xdr:to>
      <xdr:col>6</xdr:col>
      <xdr:colOff>19050</xdr:colOff>
      <xdr:row>37</xdr:row>
      <xdr:rowOff>114300</xdr:rowOff>
    </xdr:to>
    <xdr:sp macro="" textlink="">
      <xdr:nvSpPr>
        <xdr:cNvPr id="8" name="AutoShape 10">
          <a:extLst>
            <a:ext uri="{FF2B5EF4-FFF2-40B4-BE49-F238E27FC236}">
              <a16:creationId xmlns="" xmlns:a16="http://schemas.microsoft.com/office/drawing/2014/main" id="{00000000-0008-0000-0200-0000331E0100}"/>
            </a:ext>
          </a:extLst>
        </xdr:cNvPr>
        <xdr:cNvSpPr>
          <a:spLocks noChangeArrowheads="1"/>
        </xdr:cNvSpPr>
      </xdr:nvSpPr>
      <xdr:spPr bwMode="auto">
        <a:xfrm>
          <a:off x="857250" y="7362825"/>
          <a:ext cx="381000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171450</xdr:colOff>
      <xdr:row>36</xdr:row>
      <xdr:rowOff>66675</xdr:rowOff>
    </xdr:from>
    <xdr:to>
      <xdr:col>11</xdr:col>
      <xdr:colOff>19050</xdr:colOff>
      <xdr:row>37</xdr:row>
      <xdr:rowOff>114300</xdr:rowOff>
    </xdr:to>
    <xdr:sp macro="" textlink="">
      <xdr:nvSpPr>
        <xdr:cNvPr id="9" name="AutoShape 11">
          <a:extLst>
            <a:ext uri="{FF2B5EF4-FFF2-40B4-BE49-F238E27FC236}">
              <a16:creationId xmlns="" xmlns:a16="http://schemas.microsoft.com/office/drawing/2014/main" id="{00000000-0008-0000-0200-0000341E0100}"/>
            </a:ext>
          </a:extLst>
        </xdr:cNvPr>
        <xdr:cNvSpPr>
          <a:spLocks noChangeArrowheads="1"/>
        </xdr:cNvSpPr>
      </xdr:nvSpPr>
      <xdr:spPr bwMode="auto">
        <a:xfrm>
          <a:off x="1581150" y="7362825"/>
          <a:ext cx="381000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171450</xdr:colOff>
      <xdr:row>36</xdr:row>
      <xdr:rowOff>66675</xdr:rowOff>
    </xdr:from>
    <xdr:to>
      <xdr:col>21</xdr:col>
      <xdr:colOff>19050</xdr:colOff>
      <xdr:row>37</xdr:row>
      <xdr:rowOff>114300</xdr:rowOff>
    </xdr:to>
    <xdr:sp macro="" textlink="">
      <xdr:nvSpPr>
        <xdr:cNvPr id="10" name="AutoShape 12">
          <a:extLst>
            <a:ext uri="{FF2B5EF4-FFF2-40B4-BE49-F238E27FC236}">
              <a16:creationId xmlns="" xmlns:a16="http://schemas.microsoft.com/office/drawing/2014/main" id="{00000000-0008-0000-0200-0000351E0100}"/>
            </a:ext>
          </a:extLst>
        </xdr:cNvPr>
        <xdr:cNvSpPr>
          <a:spLocks noChangeArrowheads="1"/>
        </xdr:cNvSpPr>
      </xdr:nvSpPr>
      <xdr:spPr bwMode="auto">
        <a:xfrm>
          <a:off x="3028950" y="7362825"/>
          <a:ext cx="381000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171450</xdr:colOff>
      <xdr:row>39</xdr:row>
      <xdr:rowOff>66675</xdr:rowOff>
    </xdr:from>
    <xdr:to>
      <xdr:col>6</xdr:col>
      <xdr:colOff>28575</xdr:colOff>
      <xdr:row>40</xdr:row>
      <xdr:rowOff>114300</xdr:rowOff>
    </xdr:to>
    <xdr:sp macro="" textlink="">
      <xdr:nvSpPr>
        <xdr:cNvPr id="11" name="AutoShape 14">
          <a:extLst>
            <a:ext uri="{FF2B5EF4-FFF2-40B4-BE49-F238E27FC236}">
              <a16:creationId xmlns="" xmlns:a16="http://schemas.microsoft.com/office/drawing/2014/main" id="{00000000-0008-0000-0200-0000361E0100}"/>
            </a:ext>
          </a:extLst>
        </xdr:cNvPr>
        <xdr:cNvSpPr>
          <a:spLocks noChangeArrowheads="1"/>
        </xdr:cNvSpPr>
      </xdr:nvSpPr>
      <xdr:spPr bwMode="auto">
        <a:xfrm>
          <a:off x="857250" y="7934325"/>
          <a:ext cx="390525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160244</xdr:colOff>
      <xdr:row>39</xdr:row>
      <xdr:rowOff>66675</xdr:rowOff>
    </xdr:from>
    <xdr:to>
      <xdr:col>11</xdr:col>
      <xdr:colOff>7844</xdr:colOff>
      <xdr:row>40</xdr:row>
      <xdr:rowOff>114300</xdr:rowOff>
    </xdr:to>
    <xdr:sp macro="" textlink="">
      <xdr:nvSpPr>
        <xdr:cNvPr id="12" name="AutoShape 15">
          <a:extLst>
            <a:ext uri="{FF2B5EF4-FFF2-40B4-BE49-F238E27FC236}">
              <a16:creationId xmlns="" xmlns:a16="http://schemas.microsoft.com/office/drawing/2014/main" id="{00000000-0008-0000-0200-0000371E0100}"/>
            </a:ext>
          </a:extLst>
        </xdr:cNvPr>
        <xdr:cNvSpPr>
          <a:spLocks noChangeArrowheads="1"/>
        </xdr:cNvSpPr>
      </xdr:nvSpPr>
      <xdr:spPr bwMode="auto">
        <a:xfrm>
          <a:off x="1569944" y="7934325"/>
          <a:ext cx="381000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12</xdr:col>
      <xdr:colOff>171450</xdr:colOff>
      <xdr:row>39</xdr:row>
      <xdr:rowOff>66675</xdr:rowOff>
    </xdr:from>
    <xdr:to>
      <xdr:col>16</xdr:col>
      <xdr:colOff>28575</xdr:colOff>
      <xdr:row>40</xdr:row>
      <xdr:rowOff>114300</xdr:rowOff>
    </xdr:to>
    <xdr:sp macro="" textlink="">
      <xdr:nvSpPr>
        <xdr:cNvPr id="13" name="AutoShape 16">
          <a:extLst>
            <a:ext uri="{FF2B5EF4-FFF2-40B4-BE49-F238E27FC236}">
              <a16:creationId xmlns="" xmlns:a16="http://schemas.microsoft.com/office/drawing/2014/main" id="{00000000-0008-0000-0200-0000381E0100}"/>
            </a:ext>
          </a:extLst>
        </xdr:cNvPr>
        <xdr:cNvSpPr>
          <a:spLocks noChangeArrowheads="1"/>
        </xdr:cNvSpPr>
      </xdr:nvSpPr>
      <xdr:spPr bwMode="auto">
        <a:xfrm>
          <a:off x="2305050" y="7934325"/>
          <a:ext cx="390525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14</xdr:row>
      <xdr:rowOff>66675</xdr:rowOff>
    </xdr:from>
    <xdr:to>
      <xdr:col>36</xdr:col>
      <xdr:colOff>190500</xdr:colOff>
      <xdr:row>15</xdr:row>
      <xdr:rowOff>123825</xdr:rowOff>
    </xdr:to>
    <xdr:sp macro="" textlink="">
      <xdr:nvSpPr>
        <xdr:cNvPr id="14" name="AutoShape 22">
          <a:extLst>
            <a:ext uri="{FF2B5EF4-FFF2-40B4-BE49-F238E27FC236}">
              <a16:creationId xmlns="" xmlns:a16="http://schemas.microsoft.com/office/drawing/2014/main" id="{00000000-0008-0000-0200-0000391E0100}"/>
            </a:ext>
          </a:extLst>
        </xdr:cNvPr>
        <xdr:cNvSpPr>
          <a:spLocks noChangeArrowheads="1"/>
        </xdr:cNvSpPr>
      </xdr:nvSpPr>
      <xdr:spPr bwMode="auto">
        <a:xfrm>
          <a:off x="5781675" y="3381375"/>
          <a:ext cx="600075" cy="2381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9525</xdr:colOff>
      <xdr:row>8</xdr:row>
      <xdr:rowOff>200025</xdr:rowOff>
    </xdr:from>
    <xdr:to>
      <xdr:col>33</xdr:col>
      <xdr:colOff>161925</xdr:colOff>
      <xdr:row>8</xdr:row>
      <xdr:rowOff>200025</xdr:rowOff>
    </xdr:to>
    <xdr:sp macro="" textlink="">
      <xdr:nvSpPr>
        <xdr:cNvPr id="15" name="Line 24">
          <a:extLst>
            <a:ext uri="{FF2B5EF4-FFF2-40B4-BE49-F238E27FC236}">
              <a16:creationId xmlns="" xmlns:a16="http://schemas.microsoft.com/office/drawing/2014/main" id="{00000000-0008-0000-0200-00003A1E0100}"/>
            </a:ext>
          </a:extLst>
        </xdr:cNvPr>
        <xdr:cNvSpPr>
          <a:spLocks noChangeShapeType="1"/>
        </xdr:cNvSpPr>
      </xdr:nvSpPr>
      <xdr:spPr bwMode="auto">
        <a:xfrm flipH="1">
          <a:off x="4524375" y="2171700"/>
          <a:ext cx="120015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200025</xdr:colOff>
      <xdr:row>4</xdr:row>
      <xdr:rowOff>152400</xdr:rowOff>
    </xdr:from>
    <xdr:to>
      <xdr:col>33</xdr:col>
      <xdr:colOff>200025</xdr:colOff>
      <xdr:row>4</xdr:row>
      <xdr:rowOff>152400</xdr:rowOff>
    </xdr:to>
    <xdr:sp macro="" textlink="">
      <xdr:nvSpPr>
        <xdr:cNvPr id="16" name="Line 32">
          <a:extLst>
            <a:ext uri="{FF2B5EF4-FFF2-40B4-BE49-F238E27FC236}">
              <a16:creationId xmlns="" xmlns:a16="http://schemas.microsoft.com/office/drawing/2014/main" id="{00000000-0008-0000-0200-00003B1E0100}"/>
            </a:ext>
          </a:extLst>
        </xdr:cNvPr>
        <xdr:cNvSpPr>
          <a:spLocks noChangeShapeType="1"/>
        </xdr:cNvSpPr>
      </xdr:nvSpPr>
      <xdr:spPr bwMode="auto">
        <a:xfrm>
          <a:off x="4505325" y="1162050"/>
          <a:ext cx="125730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16</xdr:row>
      <xdr:rowOff>66675</xdr:rowOff>
    </xdr:from>
    <xdr:to>
      <xdr:col>36</xdr:col>
      <xdr:colOff>190500</xdr:colOff>
      <xdr:row>17</xdr:row>
      <xdr:rowOff>133350</xdr:rowOff>
    </xdr:to>
    <xdr:sp macro="" textlink="">
      <xdr:nvSpPr>
        <xdr:cNvPr id="17" name="AutoShape 33">
          <a:extLst>
            <a:ext uri="{FF2B5EF4-FFF2-40B4-BE49-F238E27FC236}">
              <a16:creationId xmlns="" xmlns:a16="http://schemas.microsoft.com/office/drawing/2014/main" id="{00000000-0008-0000-0200-00003C1E0100}"/>
            </a:ext>
          </a:extLst>
        </xdr:cNvPr>
        <xdr:cNvSpPr>
          <a:spLocks noChangeArrowheads="1"/>
        </xdr:cNvSpPr>
      </xdr:nvSpPr>
      <xdr:spPr bwMode="auto">
        <a:xfrm>
          <a:off x="5781675" y="3733800"/>
          <a:ext cx="600075" cy="2381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18</xdr:row>
      <xdr:rowOff>66675</xdr:rowOff>
    </xdr:from>
    <xdr:to>
      <xdr:col>36</xdr:col>
      <xdr:colOff>190500</xdr:colOff>
      <xdr:row>19</xdr:row>
      <xdr:rowOff>133350</xdr:rowOff>
    </xdr:to>
    <xdr:sp macro="" textlink="">
      <xdr:nvSpPr>
        <xdr:cNvPr id="18" name="AutoShape 34">
          <a:extLst>
            <a:ext uri="{FF2B5EF4-FFF2-40B4-BE49-F238E27FC236}">
              <a16:creationId xmlns="" xmlns:a16="http://schemas.microsoft.com/office/drawing/2014/main" id="{00000000-0008-0000-0200-00003D1E0100}"/>
            </a:ext>
          </a:extLst>
        </xdr:cNvPr>
        <xdr:cNvSpPr>
          <a:spLocks noChangeArrowheads="1"/>
        </xdr:cNvSpPr>
      </xdr:nvSpPr>
      <xdr:spPr bwMode="auto">
        <a:xfrm>
          <a:off x="5781675" y="4076700"/>
          <a:ext cx="600075" cy="2381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20</xdr:row>
      <xdr:rowOff>66675</xdr:rowOff>
    </xdr:from>
    <xdr:to>
      <xdr:col>36</xdr:col>
      <xdr:colOff>190500</xdr:colOff>
      <xdr:row>21</xdr:row>
      <xdr:rowOff>133350</xdr:rowOff>
    </xdr:to>
    <xdr:sp macro="" textlink="">
      <xdr:nvSpPr>
        <xdr:cNvPr id="19" name="AutoShape 35">
          <a:extLst>
            <a:ext uri="{FF2B5EF4-FFF2-40B4-BE49-F238E27FC236}">
              <a16:creationId xmlns="" xmlns:a16="http://schemas.microsoft.com/office/drawing/2014/main" id="{00000000-0008-0000-0200-00003E1E0100}"/>
            </a:ext>
          </a:extLst>
        </xdr:cNvPr>
        <xdr:cNvSpPr>
          <a:spLocks noChangeArrowheads="1"/>
        </xdr:cNvSpPr>
      </xdr:nvSpPr>
      <xdr:spPr bwMode="auto">
        <a:xfrm>
          <a:off x="5781675" y="4419600"/>
          <a:ext cx="600075" cy="2381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22</xdr:row>
      <xdr:rowOff>66675</xdr:rowOff>
    </xdr:from>
    <xdr:to>
      <xdr:col>36</xdr:col>
      <xdr:colOff>190500</xdr:colOff>
      <xdr:row>23</xdr:row>
      <xdr:rowOff>133350</xdr:rowOff>
    </xdr:to>
    <xdr:sp macro="" textlink="">
      <xdr:nvSpPr>
        <xdr:cNvPr id="20" name="AutoShape 36">
          <a:extLst>
            <a:ext uri="{FF2B5EF4-FFF2-40B4-BE49-F238E27FC236}">
              <a16:creationId xmlns="" xmlns:a16="http://schemas.microsoft.com/office/drawing/2014/main" id="{00000000-0008-0000-0200-00003F1E0100}"/>
            </a:ext>
          </a:extLst>
        </xdr:cNvPr>
        <xdr:cNvSpPr>
          <a:spLocks noChangeArrowheads="1"/>
        </xdr:cNvSpPr>
      </xdr:nvSpPr>
      <xdr:spPr bwMode="auto">
        <a:xfrm>
          <a:off x="5781675" y="4762500"/>
          <a:ext cx="600075" cy="2381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24</xdr:row>
      <xdr:rowOff>66675</xdr:rowOff>
    </xdr:from>
    <xdr:to>
      <xdr:col>36</xdr:col>
      <xdr:colOff>190500</xdr:colOff>
      <xdr:row>25</xdr:row>
      <xdr:rowOff>133350</xdr:rowOff>
    </xdr:to>
    <xdr:sp macro="" textlink="">
      <xdr:nvSpPr>
        <xdr:cNvPr id="21" name="AutoShape 37">
          <a:extLst>
            <a:ext uri="{FF2B5EF4-FFF2-40B4-BE49-F238E27FC236}">
              <a16:creationId xmlns="" xmlns:a16="http://schemas.microsoft.com/office/drawing/2014/main" id="{00000000-0008-0000-0200-0000401E0100}"/>
            </a:ext>
          </a:extLst>
        </xdr:cNvPr>
        <xdr:cNvSpPr>
          <a:spLocks noChangeArrowheads="1"/>
        </xdr:cNvSpPr>
      </xdr:nvSpPr>
      <xdr:spPr bwMode="auto">
        <a:xfrm>
          <a:off x="5781675" y="5105400"/>
          <a:ext cx="600075" cy="2381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26</xdr:row>
      <xdr:rowOff>0</xdr:rowOff>
    </xdr:from>
    <xdr:to>
      <xdr:col>36</xdr:col>
      <xdr:colOff>190500</xdr:colOff>
      <xdr:row>26</xdr:row>
      <xdr:rowOff>0</xdr:rowOff>
    </xdr:to>
    <xdr:sp macro="" textlink="">
      <xdr:nvSpPr>
        <xdr:cNvPr id="22" name="AutoShape 38">
          <a:extLst>
            <a:ext uri="{FF2B5EF4-FFF2-40B4-BE49-F238E27FC236}">
              <a16:creationId xmlns="" xmlns:a16="http://schemas.microsoft.com/office/drawing/2014/main" id="{00000000-0008-0000-0200-0000411E0100}"/>
            </a:ext>
          </a:extLst>
        </xdr:cNvPr>
        <xdr:cNvSpPr>
          <a:spLocks noChangeArrowheads="1"/>
        </xdr:cNvSpPr>
      </xdr:nvSpPr>
      <xdr:spPr bwMode="auto">
        <a:xfrm>
          <a:off x="5781675" y="5381625"/>
          <a:ext cx="60007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26</xdr:row>
      <xdr:rowOff>0</xdr:rowOff>
    </xdr:from>
    <xdr:to>
      <xdr:col>36</xdr:col>
      <xdr:colOff>190500</xdr:colOff>
      <xdr:row>26</xdr:row>
      <xdr:rowOff>0</xdr:rowOff>
    </xdr:to>
    <xdr:sp macro="" textlink="">
      <xdr:nvSpPr>
        <xdr:cNvPr id="23" name="AutoShape 39">
          <a:extLst>
            <a:ext uri="{FF2B5EF4-FFF2-40B4-BE49-F238E27FC236}">
              <a16:creationId xmlns="" xmlns:a16="http://schemas.microsoft.com/office/drawing/2014/main" id="{00000000-0008-0000-0200-0000421E0100}"/>
            </a:ext>
          </a:extLst>
        </xdr:cNvPr>
        <xdr:cNvSpPr>
          <a:spLocks noChangeArrowheads="1"/>
        </xdr:cNvSpPr>
      </xdr:nvSpPr>
      <xdr:spPr bwMode="auto">
        <a:xfrm>
          <a:off x="5781675" y="5381625"/>
          <a:ext cx="60007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26</xdr:row>
      <xdr:rowOff>0</xdr:rowOff>
    </xdr:from>
    <xdr:to>
      <xdr:col>36</xdr:col>
      <xdr:colOff>190500</xdr:colOff>
      <xdr:row>26</xdr:row>
      <xdr:rowOff>0</xdr:rowOff>
    </xdr:to>
    <xdr:sp macro="" textlink="">
      <xdr:nvSpPr>
        <xdr:cNvPr id="24" name="AutoShape 40">
          <a:extLst>
            <a:ext uri="{FF2B5EF4-FFF2-40B4-BE49-F238E27FC236}">
              <a16:creationId xmlns="" xmlns:a16="http://schemas.microsoft.com/office/drawing/2014/main" id="{00000000-0008-0000-0200-0000431E0100}"/>
            </a:ext>
          </a:extLst>
        </xdr:cNvPr>
        <xdr:cNvSpPr>
          <a:spLocks noChangeArrowheads="1"/>
        </xdr:cNvSpPr>
      </xdr:nvSpPr>
      <xdr:spPr bwMode="auto">
        <a:xfrm>
          <a:off x="5781675" y="5381625"/>
          <a:ext cx="60007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26</xdr:row>
      <xdr:rowOff>0</xdr:rowOff>
    </xdr:from>
    <xdr:to>
      <xdr:col>36</xdr:col>
      <xdr:colOff>190500</xdr:colOff>
      <xdr:row>26</xdr:row>
      <xdr:rowOff>0</xdr:rowOff>
    </xdr:to>
    <xdr:sp macro="" textlink="">
      <xdr:nvSpPr>
        <xdr:cNvPr id="25" name="AutoShape 41">
          <a:extLst>
            <a:ext uri="{FF2B5EF4-FFF2-40B4-BE49-F238E27FC236}">
              <a16:creationId xmlns="" xmlns:a16="http://schemas.microsoft.com/office/drawing/2014/main" id="{00000000-0008-0000-0200-0000441E0100}"/>
            </a:ext>
          </a:extLst>
        </xdr:cNvPr>
        <xdr:cNvSpPr>
          <a:spLocks noChangeArrowheads="1"/>
        </xdr:cNvSpPr>
      </xdr:nvSpPr>
      <xdr:spPr bwMode="auto">
        <a:xfrm>
          <a:off x="5781675" y="5381625"/>
          <a:ext cx="60007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76200</xdr:colOff>
      <xdr:row>5</xdr:row>
      <xdr:rowOff>57150</xdr:rowOff>
    </xdr:from>
    <xdr:to>
      <xdr:col>34</xdr:col>
      <xdr:colOff>76200</xdr:colOff>
      <xdr:row>8</xdr:row>
      <xdr:rowOff>76200</xdr:rowOff>
    </xdr:to>
    <xdr:sp macro="" textlink="">
      <xdr:nvSpPr>
        <xdr:cNvPr id="26" name="Line 42">
          <a:extLst>
            <a:ext uri="{FF2B5EF4-FFF2-40B4-BE49-F238E27FC236}">
              <a16:creationId xmlns="" xmlns:a16="http://schemas.microsoft.com/office/drawing/2014/main" id="{00000000-0008-0000-0200-0000451E0100}"/>
            </a:ext>
          </a:extLst>
        </xdr:cNvPr>
        <xdr:cNvSpPr>
          <a:spLocks noChangeShapeType="1"/>
        </xdr:cNvSpPr>
      </xdr:nvSpPr>
      <xdr:spPr bwMode="auto">
        <a:xfrm>
          <a:off x="5848350" y="1257300"/>
          <a:ext cx="0" cy="79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123825</xdr:colOff>
      <xdr:row>5</xdr:row>
      <xdr:rowOff>47625</xdr:rowOff>
    </xdr:from>
    <xdr:to>
      <xdr:col>27</xdr:col>
      <xdr:colOff>123825</xdr:colOff>
      <xdr:row>8</xdr:row>
      <xdr:rowOff>85725</xdr:rowOff>
    </xdr:to>
    <xdr:sp macro="" textlink="">
      <xdr:nvSpPr>
        <xdr:cNvPr id="27" name="Line 43">
          <a:extLst>
            <a:ext uri="{FF2B5EF4-FFF2-40B4-BE49-F238E27FC236}">
              <a16:creationId xmlns="" xmlns:a16="http://schemas.microsoft.com/office/drawing/2014/main" id="{00000000-0008-0000-0200-0000461E0100}"/>
            </a:ext>
          </a:extLst>
        </xdr:cNvPr>
        <xdr:cNvSpPr>
          <a:spLocks noChangeShapeType="1"/>
        </xdr:cNvSpPr>
      </xdr:nvSpPr>
      <xdr:spPr bwMode="auto">
        <a:xfrm flipV="1">
          <a:off x="4429125" y="1247775"/>
          <a:ext cx="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38100</xdr:colOff>
      <xdr:row>5</xdr:row>
      <xdr:rowOff>114300</xdr:rowOff>
    </xdr:from>
    <xdr:to>
      <xdr:col>33</xdr:col>
      <xdr:colOff>171450</xdr:colOff>
      <xdr:row>8</xdr:row>
      <xdr:rowOff>114300</xdr:rowOff>
    </xdr:to>
    <xdr:sp macro="" textlink="">
      <xdr:nvSpPr>
        <xdr:cNvPr id="28" name="Line 44">
          <a:extLst>
            <a:ext uri="{FF2B5EF4-FFF2-40B4-BE49-F238E27FC236}">
              <a16:creationId xmlns="" xmlns:a16="http://schemas.microsoft.com/office/drawing/2014/main" id="{00000000-0008-0000-0200-0000471E0100}"/>
            </a:ext>
          </a:extLst>
        </xdr:cNvPr>
        <xdr:cNvSpPr>
          <a:spLocks noChangeShapeType="1"/>
        </xdr:cNvSpPr>
      </xdr:nvSpPr>
      <xdr:spPr bwMode="auto">
        <a:xfrm flipH="1">
          <a:off x="4552950" y="1314450"/>
          <a:ext cx="1181100" cy="771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0</xdr:colOff>
      <xdr:row>5</xdr:row>
      <xdr:rowOff>76200</xdr:rowOff>
    </xdr:from>
    <xdr:to>
      <xdr:col>34</xdr:col>
      <xdr:colOff>0</xdr:colOff>
      <xdr:row>8</xdr:row>
      <xdr:rowOff>123825</xdr:rowOff>
    </xdr:to>
    <xdr:sp macro="" textlink="">
      <xdr:nvSpPr>
        <xdr:cNvPr id="29" name="Line 45">
          <a:extLst>
            <a:ext uri="{FF2B5EF4-FFF2-40B4-BE49-F238E27FC236}">
              <a16:creationId xmlns="" xmlns:a16="http://schemas.microsoft.com/office/drawing/2014/main" id="{00000000-0008-0000-0200-0000481E0100}"/>
            </a:ext>
          </a:extLst>
        </xdr:cNvPr>
        <xdr:cNvSpPr>
          <a:spLocks noChangeShapeType="1"/>
        </xdr:cNvSpPr>
      </xdr:nvSpPr>
      <xdr:spPr bwMode="auto">
        <a:xfrm>
          <a:off x="4514850" y="1276350"/>
          <a:ext cx="1257300" cy="819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30</xdr:row>
      <xdr:rowOff>66675</xdr:rowOff>
    </xdr:from>
    <xdr:to>
      <xdr:col>11</xdr:col>
      <xdr:colOff>28575</xdr:colOff>
      <xdr:row>31</xdr:row>
      <xdr:rowOff>114300</xdr:rowOff>
    </xdr:to>
    <xdr:sp macro="" textlink="">
      <xdr:nvSpPr>
        <xdr:cNvPr id="2" name="AutoShape 2">
          <a:extLst>
            <a:ext uri="{FF2B5EF4-FFF2-40B4-BE49-F238E27FC236}">
              <a16:creationId xmlns="" xmlns:a16="http://schemas.microsoft.com/office/drawing/2014/main" id="{00000000-0008-0000-0500-000001170100}"/>
            </a:ext>
          </a:extLst>
        </xdr:cNvPr>
        <xdr:cNvSpPr>
          <a:spLocks noChangeArrowheads="1"/>
        </xdr:cNvSpPr>
      </xdr:nvSpPr>
      <xdr:spPr bwMode="auto">
        <a:xfrm>
          <a:off x="1581150" y="6219825"/>
          <a:ext cx="390525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171450</xdr:colOff>
      <xdr:row>30</xdr:row>
      <xdr:rowOff>76200</xdr:rowOff>
    </xdr:from>
    <xdr:to>
      <xdr:col>16</xdr:col>
      <xdr:colOff>19050</xdr:colOff>
      <xdr:row>31</xdr:row>
      <xdr:rowOff>123825</xdr:rowOff>
    </xdr:to>
    <xdr:sp macro="" textlink="">
      <xdr:nvSpPr>
        <xdr:cNvPr id="3" name="AutoShape 3">
          <a:extLst>
            <a:ext uri="{FF2B5EF4-FFF2-40B4-BE49-F238E27FC236}">
              <a16:creationId xmlns="" xmlns:a16="http://schemas.microsoft.com/office/drawing/2014/main" id="{00000000-0008-0000-0500-000002170100}"/>
            </a:ext>
          </a:extLst>
        </xdr:cNvPr>
        <xdr:cNvSpPr>
          <a:spLocks noChangeArrowheads="1"/>
        </xdr:cNvSpPr>
      </xdr:nvSpPr>
      <xdr:spPr bwMode="auto">
        <a:xfrm>
          <a:off x="2305050" y="6229350"/>
          <a:ext cx="381000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171450</xdr:colOff>
      <xdr:row>30</xdr:row>
      <xdr:rowOff>76200</xdr:rowOff>
    </xdr:from>
    <xdr:to>
      <xdr:col>21</xdr:col>
      <xdr:colOff>19050</xdr:colOff>
      <xdr:row>31</xdr:row>
      <xdr:rowOff>123825</xdr:rowOff>
    </xdr:to>
    <xdr:sp macro="" textlink="">
      <xdr:nvSpPr>
        <xdr:cNvPr id="4" name="AutoShape 4">
          <a:extLst>
            <a:ext uri="{FF2B5EF4-FFF2-40B4-BE49-F238E27FC236}">
              <a16:creationId xmlns="" xmlns:a16="http://schemas.microsoft.com/office/drawing/2014/main" id="{00000000-0008-0000-0500-000003170100}"/>
            </a:ext>
          </a:extLst>
        </xdr:cNvPr>
        <xdr:cNvSpPr>
          <a:spLocks noChangeArrowheads="1"/>
        </xdr:cNvSpPr>
      </xdr:nvSpPr>
      <xdr:spPr bwMode="auto">
        <a:xfrm>
          <a:off x="3028950" y="6229350"/>
          <a:ext cx="381000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161925</xdr:colOff>
      <xdr:row>33</xdr:row>
      <xdr:rowOff>66675</xdr:rowOff>
    </xdr:from>
    <xdr:to>
      <xdr:col>6</xdr:col>
      <xdr:colOff>9525</xdr:colOff>
      <xdr:row>34</xdr:row>
      <xdr:rowOff>114300</xdr:rowOff>
    </xdr:to>
    <xdr:sp macro="" textlink="">
      <xdr:nvSpPr>
        <xdr:cNvPr id="5" name="AutoShape 6">
          <a:extLst>
            <a:ext uri="{FF2B5EF4-FFF2-40B4-BE49-F238E27FC236}">
              <a16:creationId xmlns="" xmlns:a16="http://schemas.microsoft.com/office/drawing/2014/main" id="{00000000-0008-0000-0500-000004170100}"/>
            </a:ext>
          </a:extLst>
        </xdr:cNvPr>
        <xdr:cNvSpPr>
          <a:spLocks noChangeArrowheads="1"/>
        </xdr:cNvSpPr>
      </xdr:nvSpPr>
      <xdr:spPr bwMode="auto">
        <a:xfrm>
          <a:off x="847725" y="6791325"/>
          <a:ext cx="381000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12</xdr:col>
      <xdr:colOff>171450</xdr:colOff>
      <xdr:row>33</xdr:row>
      <xdr:rowOff>66675</xdr:rowOff>
    </xdr:from>
    <xdr:to>
      <xdr:col>16</xdr:col>
      <xdr:colOff>28575</xdr:colOff>
      <xdr:row>34</xdr:row>
      <xdr:rowOff>114300</xdr:rowOff>
    </xdr:to>
    <xdr:sp macro="" textlink="">
      <xdr:nvSpPr>
        <xdr:cNvPr id="6" name="AutoShape 7">
          <a:extLst>
            <a:ext uri="{FF2B5EF4-FFF2-40B4-BE49-F238E27FC236}">
              <a16:creationId xmlns="" xmlns:a16="http://schemas.microsoft.com/office/drawing/2014/main" id="{00000000-0008-0000-0500-000005170100}"/>
            </a:ext>
          </a:extLst>
        </xdr:cNvPr>
        <xdr:cNvSpPr>
          <a:spLocks noChangeArrowheads="1"/>
        </xdr:cNvSpPr>
      </xdr:nvSpPr>
      <xdr:spPr bwMode="auto">
        <a:xfrm>
          <a:off x="2305050" y="6791325"/>
          <a:ext cx="390525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171450</xdr:colOff>
      <xdr:row>33</xdr:row>
      <xdr:rowOff>66675</xdr:rowOff>
    </xdr:from>
    <xdr:to>
      <xdr:col>21</xdr:col>
      <xdr:colOff>19050</xdr:colOff>
      <xdr:row>34</xdr:row>
      <xdr:rowOff>114300</xdr:rowOff>
    </xdr:to>
    <xdr:sp macro="" textlink="">
      <xdr:nvSpPr>
        <xdr:cNvPr id="7" name="AutoShape 8">
          <a:extLst>
            <a:ext uri="{FF2B5EF4-FFF2-40B4-BE49-F238E27FC236}">
              <a16:creationId xmlns="" xmlns:a16="http://schemas.microsoft.com/office/drawing/2014/main" id="{00000000-0008-0000-0500-000006170100}"/>
            </a:ext>
          </a:extLst>
        </xdr:cNvPr>
        <xdr:cNvSpPr>
          <a:spLocks noChangeArrowheads="1"/>
        </xdr:cNvSpPr>
      </xdr:nvSpPr>
      <xdr:spPr bwMode="auto">
        <a:xfrm>
          <a:off x="3028950" y="6791325"/>
          <a:ext cx="381000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171450</xdr:colOff>
      <xdr:row>36</xdr:row>
      <xdr:rowOff>66675</xdr:rowOff>
    </xdr:from>
    <xdr:to>
      <xdr:col>6</xdr:col>
      <xdr:colOff>19050</xdr:colOff>
      <xdr:row>37</xdr:row>
      <xdr:rowOff>114300</xdr:rowOff>
    </xdr:to>
    <xdr:sp macro="" textlink="">
      <xdr:nvSpPr>
        <xdr:cNvPr id="8" name="AutoShape 10">
          <a:extLst>
            <a:ext uri="{FF2B5EF4-FFF2-40B4-BE49-F238E27FC236}">
              <a16:creationId xmlns="" xmlns:a16="http://schemas.microsoft.com/office/drawing/2014/main" id="{00000000-0008-0000-0500-000007170100}"/>
            </a:ext>
          </a:extLst>
        </xdr:cNvPr>
        <xdr:cNvSpPr>
          <a:spLocks noChangeArrowheads="1"/>
        </xdr:cNvSpPr>
      </xdr:nvSpPr>
      <xdr:spPr bwMode="auto">
        <a:xfrm>
          <a:off x="857250" y="7362825"/>
          <a:ext cx="381000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171450</xdr:colOff>
      <xdr:row>36</xdr:row>
      <xdr:rowOff>66675</xdr:rowOff>
    </xdr:from>
    <xdr:to>
      <xdr:col>11</xdr:col>
      <xdr:colOff>19050</xdr:colOff>
      <xdr:row>37</xdr:row>
      <xdr:rowOff>114300</xdr:rowOff>
    </xdr:to>
    <xdr:sp macro="" textlink="">
      <xdr:nvSpPr>
        <xdr:cNvPr id="9" name="AutoShape 11">
          <a:extLst>
            <a:ext uri="{FF2B5EF4-FFF2-40B4-BE49-F238E27FC236}">
              <a16:creationId xmlns="" xmlns:a16="http://schemas.microsoft.com/office/drawing/2014/main" id="{00000000-0008-0000-0500-000008170100}"/>
            </a:ext>
          </a:extLst>
        </xdr:cNvPr>
        <xdr:cNvSpPr>
          <a:spLocks noChangeArrowheads="1"/>
        </xdr:cNvSpPr>
      </xdr:nvSpPr>
      <xdr:spPr bwMode="auto">
        <a:xfrm>
          <a:off x="1581150" y="7362825"/>
          <a:ext cx="381000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171450</xdr:colOff>
      <xdr:row>36</xdr:row>
      <xdr:rowOff>66675</xdr:rowOff>
    </xdr:from>
    <xdr:to>
      <xdr:col>21</xdr:col>
      <xdr:colOff>19050</xdr:colOff>
      <xdr:row>37</xdr:row>
      <xdr:rowOff>114300</xdr:rowOff>
    </xdr:to>
    <xdr:sp macro="" textlink="">
      <xdr:nvSpPr>
        <xdr:cNvPr id="10" name="AutoShape 12">
          <a:extLst>
            <a:ext uri="{FF2B5EF4-FFF2-40B4-BE49-F238E27FC236}">
              <a16:creationId xmlns="" xmlns:a16="http://schemas.microsoft.com/office/drawing/2014/main" id="{00000000-0008-0000-0500-000009170100}"/>
            </a:ext>
          </a:extLst>
        </xdr:cNvPr>
        <xdr:cNvSpPr>
          <a:spLocks noChangeArrowheads="1"/>
        </xdr:cNvSpPr>
      </xdr:nvSpPr>
      <xdr:spPr bwMode="auto">
        <a:xfrm>
          <a:off x="3028950" y="7362825"/>
          <a:ext cx="381000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171450</xdr:colOff>
      <xdr:row>39</xdr:row>
      <xdr:rowOff>66675</xdr:rowOff>
    </xdr:from>
    <xdr:to>
      <xdr:col>6</xdr:col>
      <xdr:colOff>28575</xdr:colOff>
      <xdr:row>40</xdr:row>
      <xdr:rowOff>114300</xdr:rowOff>
    </xdr:to>
    <xdr:sp macro="" textlink="">
      <xdr:nvSpPr>
        <xdr:cNvPr id="11" name="AutoShape 14">
          <a:extLst>
            <a:ext uri="{FF2B5EF4-FFF2-40B4-BE49-F238E27FC236}">
              <a16:creationId xmlns="" xmlns:a16="http://schemas.microsoft.com/office/drawing/2014/main" id="{00000000-0008-0000-0500-00000A170100}"/>
            </a:ext>
          </a:extLst>
        </xdr:cNvPr>
        <xdr:cNvSpPr>
          <a:spLocks noChangeArrowheads="1"/>
        </xdr:cNvSpPr>
      </xdr:nvSpPr>
      <xdr:spPr bwMode="auto">
        <a:xfrm>
          <a:off x="857250" y="7934325"/>
          <a:ext cx="390525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171450</xdr:colOff>
      <xdr:row>39</xdr:row>
      <xdr:rowOff>66675</xdr:rowOff>
    </xdr:from>
    <xdr:to>
      <xdr:col>11</xdr:col>
      <xdr:colOff>19050</xdr:colOff>
      <xdr:row>40</xdr:row>
      <xdr:rowOff>114300</xdr:rowOff>
    </xdr:to>
    <xdr:sp macro="" textlink="">
      <xdr:nvSpPr>
        <xdr:cNvPr id="12" name="AutoShape 15">
          <a:extLst>
            <a:ext uri="{FF2B5EF4-FFF2-40B4-BE49-F238E27FC236}">
              <a16:creationId xmlns="" xmlns:a16="http://schemas.microsoft.com/office/drawing/2014/main" id="{00000000-0008-0000-0500-00000B170100}"/>
            </a:ext>
          </a:extLst>
        </xdr:cNvPr>
        <xdr:cNvSpPr>
          <a:spLocks noChangeArrowheads="1"/>
        </xdr:cNvSpPr>
      </xdr:nvSpPr>
      <xdr:spPr bwMode="auto">
        <a:xfrm>
          <a:off x="1581150" y="7934325"/>
          <a:ext cx="381000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171450</xdr:colOff>
      <xdr:row>39</xdr:row>
      <xdr:rowOff>66675</xdr:rowOff>
    </xdr:from>
    <xdr:to>
      <xdr:col>16</xdr:col>
      <xdr:colOff>28575</xdr:colOff>
      <xdr:row>40</xdr:row>
      <xdr:rowOff>114300</xdr:rowOff>
    </xdr:to>
    <xdr:sp macro="" textlink="">
      <xdr:nvSpPr>
        <xdr:cNvPr id="13" name="AutoShape 16">
          <a:extLst>
            <a:ext uri="{FF2B5EF4-FFF2-40B4-BE49-F238E27FC236}">
              <a16:creationId xmlns="" xmlns:a16="http://schemas.microsoft.com/office/drawing/2014/main" id="{00000000-0008-0000-0500-00000C170100}"/>
            </a:ext>
          </a:extLst>
        </xdr:cNvPr>
        <xdr:cNvSpPr>
          <a:spLocks noChangeArrowheads="1"/>
        </xdr:cNvSpPr>
      </xdr:nvSpPr>
      <xdr:spPr bwMode="auto">
        <a:xfrm>
          <a:off x="2305050" y="7934325"/>
          <a:ext cx="390525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14</xdr:row>
      <xdr:rowOff>66675</xdr:rowOff>
    </xdr:from>
    <xdr:to>
      <xdr:col>36</xdr:col>
      <xdr:colOff>190500</xdr:colOff>
      <xdr:row>15</xdr:row>
      <xdr:rowOff>123825</xdr:rowOff>
    </xdr:to>
    <xdr:sp macro="" textlink="">
      <xdr:nvSpPr>
        <xdr:cNvPr id="14" name="AutoShape 22">
          <a:extLst>
            <a:ext uri="{FF2B5EF4-FFF2-40B4-BE49-F238E27FC236}">
              <a16:creationId xmlns="" xmlns:a16="http://schemas.microsoft.com/office/drawing/2014/main" id="{00000000-0008-0000-0500-00000D170100}"/>
            </a:ext>
          </a:extLst>
        </xdr:cNvPr>
        <xdr:cNvSpPr>
          <a:spLocks noChangeArrowheads="1"/>
        </xdr:cNvSpPr>
      </xdr:nvSpPr>
      <xdr:spPr bwMode="auto">
        <a:xfrm>
          <a:off x="5781675" y="3381375"/>
          <a:ext cx="600075" cy="2381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9525</xdr:colOff>
      <xdr:row>8</xdr:row>
      <xdr:rowOff>200025</xdr:rowOff>
    </xdr:from>
    <xdr:to>
      <xdr:col>33</xdr:col>
      <xdr:colOff>161925</xdr:colOff>
      <xdr:row>8</xdr:row>
      <xdr:rowOff>200025</xdr:rowOff>
    </xdr:to>
    <xdr:sp macro="" textlink="">
      <xdr:nvSpPr>
        <xdr:cNvPr id="15" name="Line 24">
          <a:extLst>
            <a:ext uri="{FF2B5EF4-FFF2-40B4-BE49-F238E27FC236}">
              <a16:creationId xmlns="" xmlns:a16="http://schemas.microsoft.com/office/drawing/2014/main" id="{00000000-0008-0000-0500-00000E170100}"/>
            </a:ext>
          </a:extLst>
        </xdr:cNvPr>
        <xdr:cNvSpPr>
          <a:spLocks noChangeShapeType="1"/>
        </xdr:cNvSpPr>
      </xdr:nvSpPr>
      <xdr:spPr bwMode="auto">
        <a:xfrm flipH="1">
          <a:off x="4524375" y="2171700"/>
          <a:ext cx="120015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200025</xdr:colOff>
      <xdr:row>4</xdr:row>
      <xdr:rowOff>152400</xdr:rowOff>
    </xdr:from>
    <xdr:to>
      <xdr:col>33</xdr:col>
      <xdr:colOff>200025</xdr:colOff>
      <xdr:row>4</xdr:row>
      <xdr:rowOff>152400</xdr:rowOff>
    </xdr:to>
    <xdr:sp macro="" textlink="">
      <xdr:nvSpPr>
        <xdr:cNvPr id="16" name="Line 32">
          <a:extLst>
            <a:ext uri="{FF2B5EF4-FFF2-40B4-BE49-F238E27FC236}">
              <a16:creationId xmlns="" xmlns:a16="http://schemas.microsoft.com/office/drawing/2014/main" id="{00000000-0008-0000-0500-00000F170100}"/>
            </a:ext>
          </a:extLst>
        </xdr:cNvPr>
        <xdr:cNvSpPr>
          <a:spLocks noChangeShapeType="1"/>
        </xdr:cNvSpPr>
      </xdr:nvSpPr>
      <xdr:spPr bwMode="auto">
        <a:xfrm>
          <a:off x="4505325" y="1162050"/>
          <a:ext cx="125730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16</xdr:row>
      <xdr:rowOff>66675</xdr:rowOff>
    </xdr:from>
    <xdr:to>
      <xdr:col>36</xdr:col>
      <xdr:colOff>190500</xdr:colOff>
      <xdr:row>17</xdr:row>
      <xdr:rowOff>133350</xdr:rowOff>
    </xdr:to>
    <xdr:sp macro="" textlink="">
      <xdr:nvSpPr>
        <xdr:cNvPr id="17" name="AutoShape 33">
          <a:extLst>
            <a:ext uri="{FF2B5EF4-FFF2-40B4-BE49-F238E27FC236}">
              <a16:creationId xmlns="" xmlns:a16="http://schemas.microsoft.com/office/drawing/2014/main" id="{00000000-0008-0000-0500-000010170100}"/>
            </a:ext>
          </a:extLst>
        </xdr:cNvPr>
        <xdr:cNvSpPr>
          <a:spLocks noChangeArrowheads="1"/>
        </xdr:cNvSpPr>
      </xdr:nvSpPr>
      <xdr:spPr bwMode="auto">
        <a:xfrm>
          <a:off x="5781675" y="3733800"/>
          <a:ext cx="600075" cy="2381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18</xdr:row>
      <xdr:rowOff>66675</xdr:rowOff>
    </xdr:from>
    <xdr:to>
      <xdr:col>36</xdr:col>
      <xdr:colOff>190500</xdr:colOff>
      <xdr:row>19</xdr:row>
      <xdr:rowOff>133350</xdr:rowOff>
    </xdr:to>
    <xdr:sp macro="" textlink="">
      <xdr:nvSpPr>
        <xdr:cNvPr id="18" name="AutoShape 34">
          <a:extLst>
            <a:ext uri="{FF2B5EF4-FFF2-40B4-BE49-F238E27FC236}">
              <a16:creationId xmlns="" xmlns:a16="http://schemas.microsoft.com/office/drawing/2014/main" id="{00000000-0008-0000-0500-000011170100}"/>
            </a:ext>
          </a:extLst>
        </xdr:cNvPr>
        <xdr:cNvSpPr>
          <a:spLocks noChangeArrowheads="1"/>
        </xdr:cNvSpPr>
      </xdr:nvSpPr>
      <xdr:spPr bwMode="auto">
        <a:xfrm>
          <a:off x="5781675" y="4076700"/>
          <a:ext cx="600075" cy="2381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20</xdr:row>
      <xdr:rowOff>66675</xdr:rowOff>
    </xdr:from>
    <xdr:to>
      <xdr:col>36</xdr:col>
      <xdr:colOff>190500</xdr:colOff>
      <xdr:row>21</xdr:row>
      <xdr:rowOff>133350</xdr:rowOff>
    </xdr:to>
    <xdr:sp macro="" textlink="">
      <xdr:nvSpPr>
        <xdr:cNvPr id="19" name="AutoShape 35">
          <a:extLst>
            <a:ext uri="{FF2B5EF4-FFF2-40B4-BE49-F238E27FC236}">
              <a16:creationId xmlns="" xmlns:a16="http://schemas.microsoft.com/office/drawing/2014/main" id="{00000000-0008-0000-0500-000012170100}"/>
            </a:ext>
          </a:extLst>
        </xdr:cNvPr>
        <xdr:cNvSpPr>
          <a:spLocks noChangeArrowheads="1"/>
        </xdr:cNvSpPr>
      </xdr:nvSpPr>
      <xdr:spPr bwMode="auto">
        <a:xfrm>
          <a:off x="5781675" y="4419600"/>
          <a:ext cx="600075" cy="2381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22</xdr:row>
      <xdr:rowOff>66675</xdr:rowOff>
    </xdr:from>
    <xdr:to>
      <xdr:col>36</xdr:col>
      <xdr:colOff>190500</xdr:colOff>
      <xdr:row>23</xdr:row>
      <xdr:rowOff>133350</xdr:rowOff>
    </xdr:to>
    <xdr:sp macro="" textlink="">
      <xdr:nvSpPr>
        <xdr:cNvPr id="20" name="AutoShape 36">
          <a:extLst>
            <a:ext uri="{FF2B5EF4-FFF2-40B4-BE49-F238E27FC236}">
              <a16:creationId xmlns="" xmlns:a16="http://schemas.microsoft.com/office/drawing/2014/main" id="{00000000-0008-0000-0500-000013170100}"/>
            </a:ext>
          </a:extLst>
        </xdr:cNvPr>
        <xdr:cNvSpPr>
          <a:spLocks noChangeArrowheads="1"/>
        </xdr:cNvSpPr>
      </xdr:nvSpPr>
      <xdr:spPr bwMode="auto">
        <a:xfrm>
          <a:off x="5781675" y="4762500"/>
          <a:ext cx="600075" cy="2381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24</xdr:row>
      <xdr:rowOff>66675</xdr:rowOff>
    </xdr:from>
    <xdr:to>
      <xdr:col>36</xdr:col>
      <xdr:colOff>190500</xdr:colOff>
      <xdr:row>25</xdr:row>
      <xdr:rowOff>133350</xdr:rowOff>
    </xdr:to>
    <xdr:sp macro="" textlink="">
      <xdr:nvSpPr>
        <xdr:cNvPr id="21" name="AutoShape 37">
          <a:extLst>
            <a:ext uri="{FF2B5EF4-FFF2-40B4-BE49-F238E27FC236}">
              <a16:creationId xmlns="" xmlns:a16="http://schemas.microsoft.com/office/drawing/2014/main" id="{00000000-0008-0000-0500-000014170100}"/>
            </a:ext>
          </a:extLst>
        </xdr:cNvPr>
        <xdr:cNvSpPr>
          <a:spLocks noChangeArrowheads="1"/>
        </xdr:cNvSpPr>
      </xdr:nvSpPr>
      <xdr:spPr bwMode="auto">
        <a:xfrm>
          <a:off x="5781675" y="5105400"/>
          <a:ext cx="600075" cy="2381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26</xdr:row>
      <xdr:rowOff>0</xdr:rowOff>
    </xdr:from>
    <xdr:to>
      <xdr:col>36</xdr:col>
      <xdr:colOff>190500</xdr:colOff>
      <xdr:row>26</xdr:row>
      <xdr:rowOff>0</xdr:rowOff>
    </xdr:to>
    <xdr:sp macro="" textlink="">
      <xdr:nvSpPr>
        <xdr:cNvPr id="22" name="AutoShape 38">
          <a:extLst>
            <a:ext uri="{FF2B5EF4-FFF2-40B4-BE49-F238E27FC236}">
              <a16:creationId xmlns="" xmlns:a16="http://schemas.microsoft.com/office/drawing/2014/main" id="{00000000-0008-0000-0500-000015170100}"/>
            </a:ext>
          </a:extLst>
        </xdr:cNvPr>
        <xdr:cNvSpPr>
          <a:spLocks noChangeArrowheads="1"/>
        </xdr:cNvSpPr>
      </xdr:nvSpPr>
      <xdr:spPr bwMode="auto">
        <a:xfrm>
          <a:off x="5781675" y="5381625"/>
          <a:ext cx="60007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26</xdr:row>
      <xdr:rowOff>0</xdr:rowOff>
    </xdr:from>
    <xdr:to>
      <xdr:col>36</xdr:col>
      <xdr:colOff>190500</xdr:colOff>
      <xdr:row>26</xdr:row>
      <xdr:rowOff>0</xdr:rowOff>
    </xdr:to>
    <xdr:sp macro="" textlink="">
      <xdr:nvSpPr>
        <xdr:cNvPr id="23" name="AutoShape 39">
          <a:extLst>
            <a:ext uri="{FF2B5EF4-FFF2-40B4-BE49-F238E27FC236}">
              <a16:creationId xmlns="" xmlns:a16="http://schemas.microsoft.com/office/drawing/2014/main" id="{00000000-0008-0000-0500-000016170100}"/>
            </a:ext>
          </a:extLst>
        </xdr:cNvPr>
        <xdr:cNvSpPr>
          <a:spLocks noChangeArrowheads="1"/>
        </xdr:cNvSpPr>
      </xdr:nvSpPr>
      <xdr:spPr bwMode="auto">
        <a:xfrm>
          <a:off x="5781675" y="5381625"/>
          <a:ext cx="60007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26</xdr:row>
      <xdr:rowOff>0</xdr:rowOff>
    </xdr:from>
    <xdr:to>
      <xdr:col>36</xdr:col>
      <xdr:colOff>190500</xdr:colOff>
      <xdr:row>26</xdr:row>
      <xdr:rowOff>0</xdr:rowOff>
    </xdr:to>
    <xdr:sp macro="" textlink="">
      <xdr:nvSpPr>
        <xdr:cNvPr id="24" name="AutoShape 40">
          <a:extLst>
            <a:ext uri="{FF2B5EF4-FFF2-40B4-BE49-F238E27FC236}">
              <a16:creationId xmlns="" xmlns:a16="http://schemas.microsoft.com/office/drawing/2014/main" id="{00000000-0008-0000-0500-000017170100}"/>
            </a:ext>
          </a:extLst>
        </xdr:cNvPr>
        <xdr:cNvSpPr>
          <a:spLocks noChangeArrowheads="1"/>
        </xdr:cNvSpPr>
      </xdr:nvSpPr>
      <xdr:spPr bwMode="auto">
        <a:xfrm>
          <a:off x="5781675" y="5381625"/>
          <a:ext cx="60007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26</xdr:row>
      <xdr:rowOff>0</xdr:rowOff>
    </xdr:from>
    <xdr:to>
      <xdr:col>36</xdr:col>
      <xdr:colOff>190500</xdr:colOff>
      <xdr:row>26</xdr:row>
      <xdr:rowOff>0</xdr:rowOff>
    </xdr:to>
    <xdr:sp macro="" textlink="">
      <xdr:nvSpPr>
        <xdr:cNvPr id="25" name="AutoShape 41">
          <a:extLst>
            <a:ext uri="{FF2B5EF4-FFF2-40B4-BE49-F238E27FC236}">
              <a16:creationId xmlns="" xmlns:a16="http://schemas.microsoft.com/office/drawing/2014/main" id="{00000000-0008-0000-0500-000018170100}"/>
            </a:ext>
          </a:extLst>
        </xdr:cNvPr>
        <xdr:cNvSpPr>
          <a:spLocks noChangeArrowheads="1"/>
        </xdr:cNvSpPr>
      </xdr:nvSpPr>
      <xdr:spPr bwMode="auto">
        <a:xfrm>
          <a:off x="5781675" y="5381625"/>
          <a:ext cx="60007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76200</xdr:colOff>
      <xdr:row>5</xdr:row>
      <xdr:rowOff>57150</xdr:rowOff>
    </xdr:from>
    <xdr:to>
      <xdr:col>34</xdr:col>
      <xdr:colOff>76200</xdr:colOff>
      <xdr:row>8</xdr:row>
      <xdr:rowOff>76200</xdr:rowOff>
    </xdr:to>
    <xdr:sp macro="" textlink="">
      <xdr:nvSpPr>
        <xdr:cNvPr id="26" name="Line 42">
          <a:extLst>
            <a:ext uri="{FF2B5EF4-FFF2-40B4-BE49-F238E27FC236}">
              <a16:creationId xmlns="" xmlns:a16="http://schemas.microsoft.com/office/drawing/2014/main" id="{00000000-0008-0000-0500-000019170100}"/>
            </a:ext>
          </a:extLst>
        </xdr:cNvPr>
        <xdr:cNvSpPr>
          <a:spLocks noChangeShapeType="1"/>
        </xdr:cNvSpPr>
      </xdr:nvSpPr>
      <xdr:spPr bwMode="auto">
        <a:xfrm>
          <a:off x="5848350" y="1257300"/>
          <a:ext cx="0" cy="79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123825</xdr:colOff>
      <xdr:row>5</xdr:row>
      <xdr:rowOff>47625</xdr:rowOff>
    </xdr:from>
    <xdr:to>
      <xdr:col>27</xdr:col>
      <xdr:colOff>123825</xdr:colOff>
      <xdr:row>8</xdr:row>
      <xdr:rowOff>85725</xdr:rowOff>
    </xdr:to>
    <xdr:sp macro="" textlink="">
      <xdr:nvSpPr>
        <xdr:cNvPr id="27" name="Line 43">
          <a:extLst>
            <a:ext uri="{FF2B5EF4-FFF2-40B4-BE49-F238E27FC236}">
              <a16:creationId xmlns="" xmlns:a16="http://schemas.microsoft.com/office/drawing/2014/main" id="{00000000-0008-0000-0500-00001A170100}"/>
            </a:ext>
          </a:extLst>
        </xdr:cNvPr>
        <xdr:cNvSpPr>
          <a:spLocks noChangeShapeType="1"/>
        </xdr:cNvSpPr>
      </xdr:nvSpPr>
      <xdr:spPr bwMode="auto">
        <a:xfrm flipV="1">
          <a:off x="4429125" y="1247775"/>
          <a:ext cx="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38100</xdr:colOff>
      <xdr:row>5</xdr:row>
      <xdr:rowOff>114300</xdr:rowOff>
    </xdr:from>
    <xdr:to>
      <xdr:col>33</xdr:col>
      <xdr:colOff>171450</xdr:colOff>
      <xdr:row>8</xdr:row>
      <xdr:rowOff>114300</xdr:rowOff>
    </xdr:to>
    <xdr:sp macro="" textlink="">
      <xdr:nvSpPr>
        <xdr:cNvPr id="28" name="Line 44">
          <a:extLst>
            <a:ext uri="{FF2B5EF4-FFF2-40B4-BE49-F238E27FC236}">
              <a16:creationId xmlns="" xmlns:a16="http://schemas.microsoft.com/office/drawing/2014/main" id="{00000000-0008-0000-0500-00001B170100}"/>
            </a:ext>
          </a:extLst>
        </xdr:cNvPr>
        <xdr:cNvSpPr>
          <a:spLocks noChangeShapeType="1"/>
        </xdr:cNvSpPr>
      </xdr:nvSpPr>
      <xdr:spPr bwMode="auto">
        <a:xfrm flipH="1">
          <a:off x="4552950" y="1314450"/>
          <a:ext cx="1181100" cy="771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0</xdr:colOff>
      <xdr:row>5</xdr:row>
      <xdr:rowOff>76200</xdr:rowOff>
    </xdr:from>
    <xdr:to>
      <xdr:col>34</xdr:col>
      <xdr:colOff>0</xdr:colOff>
      <xdr:row>8</xdr:row>
      <xdr:rowOff>123825</xdr:rowOff>
    </xdr:to>
    <xdr:sp macro="" textlink="">
      <xdr:nvSpPr>
        <xdr:cNvPr id="29" name="Line 45">
          <a:extLst>
            <a:ext uri="{FF2B5EF4-FFF2-40B4-BE49-F238E27FC236}">
              <a16:creationId xmlns="" xmlns:a16="http://schemas.microsoft.com/office/drawing/2014/main" id="{00000000-0008-0000-0500-00001C170100}"/>
            </a:ext>
          </a:extLst>
        </xdr:cNvPr>
        <xdr:cNvSpPr>
          <a:spLocks noChangeShapeType="1"/>
        </xdr:cNvSpPr>
      </xdr:nvSpPr>
      <xdr:spPr bwMode="auto">
        <a:xfrm>
          <a:off x="4514850" y="1276350"/>
          <a:ext cx="1257300" cy="819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30</xdr:row>
      <xdr:rowOff>66675</xdr:rowOff>
    </xdr:from>
    <xdr:to>
      <xdr:col>11</xdr:col>
      <xdr:colOff>28575</xdr:colOff>
      <xdr:row>31</xdr:row>
      <xdr:rowOff>114300</xdr:rowOff>
    </xdr:to>
    <xdr:sp macro="" textlink="">
      <xdr:nvSpPr>
        <xdr:cNvPr id="2" name="AutoShape 2">
          <a:extLst>
            <a:ext uri="{FF2B5EF4-FFF2-40B4-BE49-F238E27FC236}">
              <a16:creationId xmlns="" xmlns:a16="http://schemas.microsoft.com/office/drawing/2014/main" id="{00000000-0008-0000-0500-000001170100}"/>
            </a:ext>
          </a:extLst>
        </xdr:cNvPr>
        <xdr:cNvSpPr>
          <a:spLocks noChangeArrowheads="1"/>
        </xdr:cNvSpPr>
      </xdr:nvSpPr>
      <xdr:spPr bwMode="auto">
        <a:xfrm>
          <a:off x="1581150" y="6238875"/>
          <a:ext cx="390525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171450</xdr:colOff>
      <xdr:row>30</xdr:row>
      <xdr:rowOff>76200</xdr:rowOff>
    </xdr:from>
    <xdr:to>
      <xdr:col>16</xdr:col>
      <xdr:colOff>19050</xdr:colOff>
      <xdr:row>31</xdr:row>
      <xdr:rowOff>123825</xdr:rowOff>
    </xdr:to>
    <xdr:sp macro="" textlink="">
      <xdr:nvSpPr>
        <xdr:cNvPr id="3" name="AutoShape 3">
          <a:extLst>
            <a:ext uri="{FF2B5EF4-FFF2-40B4-BE49-F238E27FC236}">
              <a16:creationId xmlns="" xmlns:a16="http://schemas.microsoft.com/office/drawing/2014/main" id="{00000000-0008-0000-0500-000002170100}"/>
            </a:ext>
          </a:extLst>
        </xdr:cNvPr>
        <xdr:cNvSpPr>
          <a:spLocks noChangeArrowheads="1"/>
        </xdr:cNvSpPr>
      </xdr:nvSpPr>
      <xdr:spPr bwMode="auto">
        <a:xfrm>
          <a:off x="2305050" y="6248400"/>
          <a:ext cx="381000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171450</xdr:colOff>
      <xdr:row>30</xdr:row>
      <xdr:rowOff>66675</xdr:rowOff>
    </xdr:from>
    <xdr:to>
      <xdr:col>21</xdr:col>
      <xdr:colOff>19050</xdr:colOff>
      <xdr:row>31</xdr:row>
      <xdr:rowOff>114300</xdr:rowOff>
    </xdr:to>
    <xdr:sp macro="" textlink="">
      <xdr:nvSpPr>
        <xdr:cNvPr id="4" name="AutoShape 4">
          <a:extLst>
            <a:ext uri="{FF2B5EF4-FFF2-40B4-BE49-F238E27FC236}">
              <a16:creationId xmlns="" xmlns:a16="http://schemas.microsoft.com/office/drawing/2014/main" id="{00000000-0008-0000-0500-000003170100}"/>
            </a:ext>
          </a:extLst>
        </xdr:cNvPr>
        <xdr:cNvSpPr>
          <a:spLocks noChangeArrowheads="1"/>
        </xdr:cNvSpPr>
      </xdr:nvSpPr>
      <xdr:spPr bwMode="auto">
        <a:xfrm>
          <a:off x="3028950" y="6238875"/>
          <a:ext cx="381000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171450</xdr:colOff>
      <xdr:row>33</xdr:row>
      <xdr:rowOff>66675</xdr:rowOff>
    </xdr:from>
    <xdr:to>
      <xdr:col>6</xdr:col>
      <xdr:colOff>19050</xdr:colOff>
      <xdr:row>34</xdr:row>
      <xdr:rowOff>114300</xdr:rowOff>
    </xdr:to>
    <xdr:sp macro="" textlink="">
      <xdr:nvSpPr>
        <xdr:cNvPr id="5" name="AutoShape 6">
          <a:extLst>
            <a:ext uri="{FF2B5EF4-FFF2-40B4-BE49-F238E27FC236}">
              <a16:creationId xmlns="" xmlns:a16="http://schemas.microsoft.com/office/drawing/2014/main" id="{00000000-0008-0000-0500-000004170100}"/>
            </a:ext>
          </a:extLst>
        </xdr:cNvPr>
        <xdr:cNvSpPr>
          <a:spLocks noChangeArrowheads="1"/>
        </xdr:cNvSpPr>
      </xdr:nvSpPr>
      <xdr:spPr bwMode="auto">
        <a:xfrm>
          <a:off x="857250" y="6810375"/>
          <a:ext cx="381000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171450</xdr:colOff>
      <xdr:row>33</xdr:row>
      <xdr:rowOff>66675</xdr:rowOff>
    </xdr:from>
    <xdr:to>
      <xdr:col>16</xdr:col>
      <xdr:colOff>28575</xdr:colOff>
      <xdr:row>34</xdr:row>
      <xdr:rowOff>114300</xdr:rowOff>
    </xdr:to>
    <xdr:sp macro="" textlink="">
      <xdr:nvSpPr>
        <xdr:cNvPr id="6" name="AutoShape 7">
          <a:extLst>
            <a:ext uri="{FF2B5EF4-FFF2-40B4-BE49-F238E27FC236}">
              <a16:creationId xmlns="" xmlns:a16="http://schemas.microsoft.com/office/drawing/2014/main" id="{00000000-0008-0000-0500-000005170100}"/>
            </a:ext>
          </a:extLst>
        </xdr:cNvPr>
        <xdr:cNvSpPr>
          <a:spLocks noChangeArrowheads="1"/>
        </xdr:cNvSpPr>
      </xdr:nvSpPr>
      <xdr:spPr bwMode="auto">
        <a:xfrm>
          <a:off x="2305050" y="6810375"/>
          <a:ext cx="390525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171450</xdr:colOff>
      <xdr:row>33</xdr:row>
      <xdr:rowOff>66675</xdr:rowOff>
    </xdr:from>
    <xdr:to>
      <xdr:col>21</xdr:col>
      <xdr:colOff>19050</xdr:colOff>
      <xdr:row>34</xdr:row>
      <xdr:rowOff>114300</xdr:rowOff>
    </xdr:to>
    <xdr:sp macro="" textlink="">
      <xdr:nvSpPr>
        <xdr:cNvPr id="7" name="AutoShape 8">
          <a:extLst>
            <a:ext uri="{FF2B5EF4-FFF2-40B4-BE49-F238E27FC236}">
              <a16:creationId xmlns="" xmlns:a16="http://schemas.microsoft.com/office/drawing/2014/main" id="{00000000-0008-0000-0500-000006170100}"/>
            </a:ext>
          </a:extLst>
        </xdr:cNvPr>
        <xdr:cNvSpPr>
          <a:spLocks noChangeArrowheads="1"/>
        </xdr:cNvSpPr>
      </xdr:nvSpPr>
      <xdr:spPr bwMode="auto">
        <a:xfrm>
          <a:off x="3028950" y="6810375"/>
          <a:ext cx="381000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171450</xdr:colOff>
      <xdr:row>36</xdr:row>
      <xdr:rowOff>66675</xdr:rowOff>
    </xdr:from>
    <xdr:to>
      <xdr:col>6</xdr:col>
      <xdr:colOff>19050</xdr:colOff>
      <xdr:row>37</xdr:row>
      <xdr:rowOff>114300</xdr:rowOff>
    </xdr:to>
    <xdr:sp macro="" textlink="">
      <xdr:nvSpPr>
        <xdr:cNvPr id="8" name="AutoShape 10">
          <a:extLst>
            <a:ext uri="{FF2B5EF4-FFF2-40B4-BE49-F238E27FC236}">
              <a16:creationId xmlns="" xmlns:a16="http://schemas.microsoft.com/office/drawing/2014/main" id="{00000000-0008-0000-0500-000007170100}"/>
            </a:ext>
          </a:extLst>
        </xdr:cNvPr>
        <xdr:cNvSpPr>
          <a:spLocks noChangeArrowheads="1"/>
        </xdr:cNvSpPr>
      </xdr:nvSpPr>
      <xdr:spPr bwMode="auto">
        <a:xfrm>
          <a:off x="857250" y="7381875"/>
          <a:ext cx="381000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152400</xdr:colOff>
      <xdr:row>36</xdr:row>
      <xdr:rowOff>66675</xdr:rowOff>
    </xdr:from>
    <xdr:to>
      <xdr:col>11</xdr:col>
      <xdr:colOff>0</xdr:colOff>
      <xdr:row>37</xdr:row>
      <xdr:rowOff>114300</xdr:rowOff>
    </xdr:to>
    <xdr:sp macro="" textlink="">
      <xdr:nvSpPr>
        <xdr:cNvPr id="9" name="AutoShape 11">
          <a:extLst>
            <a:ext uri="{FF2B5EF4-FFF2-40B4-BE49-F238E27FC236}">
              <a16:creationId xmlns="" xmlns:a16="http://schemas.microsoft.com/office/drawing/2014/main" id="{00000000-0008-0000-0500-000008170100}"/>
            </a:ext>
          </a:extLst>
        </xdr:cNvPr>
        <xdr:cNvSpPr>
          <a:spLocks noChangeArrowheads="1"/>
        </xdr:cNvSpPr>
      </xdr:nvSpPr>
      <xdr:spPr bwMode="auto">
        <a:xfrm>
          <a:off x="1562100" y="7381875"/>
          <a:ext cx="381000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 altLang="ja-JP"/>
        </a:p>
        <a:p>
          <a:endParaRPr lang="ja-JP" altLang="en-US"/>
        </a:p>
      </xdr:txBody>
    </xdr:sp>
    <xdr:clientData/>
  </xdr:twoCellAnchor>
  <xdr:twoCellAnchor>
    <xdr:from>
      <xdr:col>17</xdr:col>
      <xdr:colOff>171450</xdr:colOff>
      <xdr:row>36</xdr:row>
      <xdr:rowOff>66675</xdr:rowOff>
    </xdr:from>
    <xdr:to>
      <xdr:col>21</xdr:col>
      <xdr:colOff>19050</xdr:colOff>
      <xdr:row>37</xdr:row>
      <xdr:rowOff>114300</xdr:rowOff>
    </xdr:to>
    <xdr:sp macro="" textlink="">
      <xdr:nvSpPr>
        <xdr:cNvPr id="10" name="AutoShape 12">
          <a:extLst>
            <a:ext uri="{FF2B5EF4-FFF2-40B4-BE49-F238E27FC236}">
              <a16:creationId xmlns="" xmlns:a16="http://schemas.microsoft.com/office/drawing/2014/main" id="{00000000-0008-0000-0500-000009170100}"/>
            </a:ext>
          </a:extLst>
        </xdr:cNvPr>
        <xdr:cNvSpPr>
          <a:spLocks noChangeArrowheads="1"/>
        </xdr:cNvSpPr>
      </xdr:nvSpPr>
      <xdr:spPr bwMode="auto">
        <a:xfrm>
          <a:off x="3028950" y="7381875"/>
          <a:ext cx="381000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171450</xdr:colOff>
      <xdr:row>39</xdr:row>
      <xdr:rowOff>66675</xdr:rowOff>
    </xdr:from>
    <xdr:to>
      <xdr:col>6</xdr:col>
      <xdr:colOff>28575</xdr:colOff>
      <xdr:row>40</xdr:row>
      <xdr:rowOff>114300</xdr:rowOff>
    </xdr:to>
    <xdr:sp macro="" textlink="">
      <xdr:nvSpPr>
        <xdr:cNvPr id="11" name="AutoShape 14">
          <a:extLst>
            <a:ext uri="{FF2B5EF4-FFF2-40B4-BE49-F238E27FC236}">
              <a16:creationId xmlns="" xmlns:a16="http://schemas.microsoft.com/office/drawing/2014/main" id="{00000000-0008-0000-0500-00000A170100}"/>
            </a:ext>
          </a:extLst>
        </xdr:cNvPr>
        <xdr:cNvSpPr>
          <a:spLocks noChangeArrowheads="1"/>
        </xdr:cNvSpPr>
      </xdr:nvSpPr>
      <xdr:spPr bwMode="auto">
        <a:xfrm>
          <a:off x="857250" y="7953375"/>
          <a:ext cx="390525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171450</xdr:colOff>
      <xdr:row>39</xdr:row>
      <xdr:rowOff>66675</xdr:rowOff>
    </xdr:from>
    <xdr:to>
      <xdr:col>11</xdr:col>
      <xdr:colOff>19050</xdr:colOff>
      <xdr:row>40</xdr:row>
      <xdr:rowOff>114300</xdr:rowOff>
    </xdr:to>
    <xdr:sp macro="" textlink="">
      <xdr:nvSpPr>
        <xdr:cNvPr id="12" name="AutoShape 15">
          <a:extLst>
            <a:ext uri="{FF2B5EF4-FFF2-40B4-BE49-F238E27FC236}">
              <a16:creationId xmlns="" xmlns:a16="http://schemas.microsoft.com/office/drawing/2014/main" id="{00000000-0008-0000-0500-00000B170100}"/>
            </a:ext>
          </a:extLst>
        </xdr:cNvPr>
        <xdr:cNvSpPr>
          <a:spLocks noChangeArrowheads="1"/>
        </xdr:cNvSpPr>
      </xdr:nvSpPr>
      <xdr:spPr bwMode="auto">
        <a:xfrm>
          <a:off x="1581150" y="7953375"/>
          <a:ext cx="381000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171450</xdr:colOff>
      <xdr:row>39</xdr:row>
      <xdr:rowOff>66675</xdr:rowOff>
    </xdr:from>
    <xdr:to>
      <xdr:col>16</xdr:col>
      <xdr:colOff>28575</xdr:colOff>
      <xdr:row>40</xdr:row>
      <xdr:rowOff>114300</xdr:rowOff>
    </xdr:to>
    <xdr:sp macro="" textlink="">
      <xdr:nvSpPr>
        <xdr:cNvPr id="13" name="AutoShape 16">
          <a:extLst>
            <a:ext uri="{FF2B5EF4-FFF2-40B4-BE49-F238E27FC236}">
              <a16:creationId xmlns="" xmlns:a16="http://schemas.microsoft.com/office/drawing/2014/main" id="{00000000-0008-0000-0500-00000C170100}"/>
            </a:ext>
          </a:extLst>
        </xdr:cNvPr>
        <xdr:cNvSpPr>
          <a:spLocks noChangeArrowheads="1"/>
        </xdr:cNvSpPr>
      </xdr:nvSpPr>
      <xdr:spPr bwMode="auto">
        <a:xfrm>
          <a:off x="2305050" y="7953375"/>
          <a:ext cx="390525" cy="21907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14</xdr:row>
      <xdr:rowOff>66675</xdr:rowOff>
    </xdr:from>
    <xdr:to>
      <xdr:col>36</xdr:col>
      <xdr:colOff>190500</xdr:colOff>
      <xdr:row>15</xdr:row>
      <xdr:rowOff>123825</xdr:rowOff>
    </xdr:to>
    <xdr:sp macro="" textlink="">
      <xdr:nvSpPr>
        <xdr:cNvPr id="14" name="AutoShape 22">
          <a:extLst>
            <a:ext uri="{FF2B5EF4-FFF2-40B4-BE49-F238E27FC236}">
              <a16:creationId xmlns="" xmlns:a16="http://schemas.microsoft.com/office/drawing/2014/main" id="{00000000-0008-0000-0500-00000D170100}"/>
            </a:ext>
          </a:extLst>
        </xdr:cNvPr>
        <xdr:cNvSpPr>
          <a:spLocks noChangeArrowheads="1"/>
        </xdr:cNvSpPr>
      </xdr:nvSpPr>
      <xdr:spPr bwMode="auto">
        <a:xfrm>
          <a:off x="5781675" y="3400425"/>
          <a:ext cx="600075" cy="2381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9525</xdr:colOff>
      <xdr:row>8</xdr:row>
      <xdr:rowOff>200025</xdr:rowOff>
    </xdr:from>
    <xdr:to>
      <xdr:col>33</xdr:col>
      <xdr:colOff>161925</xdr:colOff>
      <xdr:row>8</xdr:row>
      <xdr:rowOff>200025</xdr:rowOff>
    </xdr:to>
    <xdr:sp macro="" textlink="">
      <xdr:nvSpPr>
        <xdr:cNvPr id="15" name="Line 24">
          <a:extLst>
            <a:ext uri="{FF2B5EF4-FFF2-40B4-BE49-F238E27FC236}">
              <a16:creationId xmlns="" xmlns:a16="http://schemas.microsoft.com/office/drawing/2014/main" id="{00000000-0008-0000-0500-00000E170100}"/>
            </a:ext>
          </a:extLst>
        </xdr:cNvPr>
        <xdr:cNvSpPr>
          <a:spLocks noChangeShapeType="1"/>
        </xdr:cNvSpPr>
      </xdr:nvSpPr>
      <xdr:spPr bwMode="auto">
        <a:xfrm flipH="1">
          <a:off x="4524375" y="2190750"/>
          <a:ext cx="120015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200025</xdr:colOff>
      <xdr:row>4</xdr:row>
      <xdr:rowOff>152400</xdr:rowOff>
    </xdr:from>
    <xdr:to>
      <xdr:col>33</xdr:col>
      <xdr:colOff>200025</xdr:colOff>
      <xdr:row>4</xdr:row>
      <xdr:rowOff>152400</xdr:rowOff>
    </xdr:to>
    <xdr:sp macro="" textlink="">
      <xdr:nvSpPr>
        <xdr:cNvPr id="16" name="Line 32">
          <a:extLst>
            <a:ext uri="{FF2B5EF4-FFF2-40B4-BE49-F238E27FC236}">
              <a16:creationId xmlns="" xmlns:a16="http://schemas.microsoft.com/office/drawing/2014/main" id="{00000000-0008-0000-0500-00000F170100}"/>
            </a:ext>
          </a:extLst>
        </xdr:cNvPr>
        <xdr:cNvSpPr>
          <a:spLocks noChangeShapeType="1"/>
        </xdr:cNvSpPr>
      </xdr:nvSpPr>
      <xdr:spPr bwMode="auto">
        <a:xfrm>
          <a:off x="4505325" y="1181100"/>
          <a:ext cx="125730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16</xdr:row>
      <xdr:rowOff>66675</xdr:rowOff>
    </xdr:from>
    <xdr:to>
      <xdr:col>36</xdr:col>
      <xdr:colOff>190500</xdr:colOff>
      <xdr:row>17</xdr:row>
      <xdr:rowOff>133350</xdr:rowOff>
    </xdr:to>
    <xdr:sp macro="" textlink="">
      <xdr:nvSpPr>
        <xdr:cNvPr id="17" name="AutoShape 33">
          <a:extLst>
            <a:ext uri="{FF2B5EF4-FFF2-40B4-BE49-F238E27FC236}">
              <a16:creationId xmlns="" xmlns:a16="http://schemas.microsoft.com/office/drawing/2014/main" id="{00000000-0008-0000-0500-000010170100}"/>
            </a:ext>
          </a:extLst>
        </xdr:cNvPr>
        <xdr:cNvSpPr>
          <a:spLocks noChangeArrowheads="1"/>
        </xdr:cNvSpPr>
      </xdr:nvSpPr>
      <xdr:spPr bwMode="auto">
        <a:xfrm>
          <a:off x="5781675" y="3752850"/>
          <a:ext cx="600075" cy="2381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18</xdr:row>
      <xdr:rowOff>66675</xdr:rowOff>
    </xdr:from>
    <xdr:to>
      <xdr:col>36</xdr:col>
      <xdr:colOff>190500</xdr:colOff>
      <xdr:row>19</xdr:row>
      <xdr:rowOff>133350</xdr:rowOff>
    </xdr:to>
    <xdr:sp macro="" textlink="">
      <xdr:nvSpPr>
        <xdr:cNvPr id="18" name="AutoShape 34">
          <a:extLst>
            <a:ext uri="{FF2B5EF4-FFF2-40B4-BE49-F238E27FC236}">
              <a16:creationId xmlns="" xmlns:a16="http://schemas.microsoft.com/office/drawing/2014/main" id="{00000000-0008-0000-0500-000011170100}"/>
            </a:ext>
          </a:extLst>
        </xdr:cNvPr>
        <xdr:cNvSpPr>
          <a:spLocks noChangeArrowheads="1"/>
        </xdr:cNvSpPr>
      </xdr:nvSpPr>
      <xdr:spPr bwMode="auto">
        <a:xfrm>
          <a:off x="5781675" y="4095750"/>
          <a:ext cx="600075" cy="2381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20</xdr:row>
      <xdr:rowOff>66675</xdr:rowOff>
    </xdr:from>
    <xdr:to>
      <xdr:col>36</xdr:col>
      <xdr:colOff>190500</xdr:colOff>
      <xdr:row>21</xdr:row>
      <xdr:rowOff>133350</xdr:rowOff>
    </xdr:to>
    <xdr:sp macro="" textlink="">
      <xdr:nvSpPr>
        <xdr:cNvPr id="19" name="AutoShape 35">
          <a:extLst>
            <a:ext uri="{FF2B5EF4-FFF2-40B4-BE49-F238E27FC236}">
              <a16:creationId xmlns="" xmlns:a16="http://schemas.microsoft.com/office/drawing/2014/main" id="{00000000-0008-0000-0500-000012170100}"/>
            </a:ext>
          </a:extLst>
        </xdr:cNvPr>
        <xdr:cNvSpPr>
          <a:spLocks noChangeArrowheads="1"/>
        </xdr:cNvSpPr>
      </xdr:nvSpPr>
      <xdr:spPr bwMode="auto">
        <a:xfrm>
          <a:off x="5781675" y="4438650"/>
          <a:ext cx="600075" cy="2381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22</xdr:row>
      <xdr:rowOff>66675</xdr:rowOff>
    </xdr:from>
    <xdr:to>
      <xdr:col>36</xdr:col>
      <xdr:colOff>190500</xdr:colOff>
      <xdr:row>23</xdr:row>
      <xdr:rowOff>133350</xdr:rowOff>
    </xdr:to>
    <xdr:sp macro="" textlink="">
      <xdr:nvSpPr>
        <xdr:cNvPr id="20" name="AutoShape 36">
          <a:extLst>
            <a:ext uri="{FF2B5EF4-FFF2-40B4-BE49-F238E27FC236}">
              <a16:creationId xmlns="" xmlns:a16="http://schemas.microsoft.com/office/drawing/2014/main" id="{00000000-0008-0000-0500-000013170100}"/>
            </a:ext>
          </a:extLst>
        </xdr:cNvPr>
        <xdr:cNvSpPr>
          <a:spLocks noChangeArrowheads="1"/>
        </xdr:cNvSpPr>
      </xdr:nvSpPr>
      <xdr:spPr bwMode="auto">
        <a:xfrm>
          <a:off x="5781675" y="4781550"/>
          <a:ext cx="600075" cy="2381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24</xdr:row>
      <xdr:rowOff>66675</xdr:rowOff>
    </xdr:from>
    <xdr:to>
      <xdr:col>36</xdr:col>
      <xdr:colOff>190500</xdr:colOff>
      <xdr:row>25</xdr:row>
      <xdr:rowOff>133350</xdr:rowOff>
    </xdr:to>
    <xdr:sp macro="" textlink="">
      <xdr:nvSpPr>
        <xdr:cNvPr id="21" name="AutoShape 37">
          <a:extLst>
            <a:ext uri="{FF2B5EF4-FFF2-40B4-BE49-F238E27FC236}">
              <a16:creationId xmlns="" xmlns:a16="http://schemas.microsoft.com/office/drawing/2014/main" id="{00000000-0008-0000-0500-000014170100}"/>
            </a:ext>
          </a:extLst>
        </xdr:cNvPr>
        <xdr:cNvSpPr>
          <a:spLocks noChangeArrowheads="1"/>
        </xdr:cNvSpPr>
      </xdr:nvSpPr>
      <xdr:spPr bwMode="auto">
        <a:xfrm>
          <a:off x="5781675" y="5124450"/>
          <a:ext cx="600075" cy="2381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26</xdr:row>
      <xdr:rowOff>0</xdr:rowOff>
    </xdr:from>
    <xdr:to>
      <xdr:col>36</xdr:col>
      <xdr:colOff>190500</xdr:colOff>
      <xdr:row>26</xdr:row>
      <xdr:rowOff>0</xdr:rowOff>
    </xdr:to>
    <xdr:sp macro="" textlink="">
      <xdr:nvSpPr>
        <xdr:cNvPr id="22" name="AutoShape 38">
          <a:extLst>
            <a:ext uri="{FF2B5EF4-FFF2-40B4-BE49-F238E27FC236}">
              <a16:creationId xmlns="" xmlns:a16="http://schemas.microsoft.com/office/drawing/2014/main" id="{00000000-0008-0000-0500-000015170100}"/>
            </a:ext>
          </a:extLst>
        </xdr:cNvPr>
        <xdr:cNvSpPr>
          <a:spLocks noChangeArrowheads="1"/>
        </xdr:cNvSpPr>
      </xdr:nvSpPr>
      <xdr:spPr bwMode="auto">
        <a:xfrm>
          <a:off x="5781675" y="5400675"/>
          <a:ext cx="60007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26</xdr:row>
      <xdr:rowOff>0</xdr:rowOff>
    </xdr:from>
    <xdr:to>
      <xdr:col>36</xdr:col>
      <xdr:colOff>190500</xdr:colOff>
      <xdr:row>26</xdr:row>
      <xdr:rowOff>0</xdr:rowOff>
    </xdr:to>
    <xdr:sp macro="" textlink="">
      <xdr:nvSpPr>
        <xdr:cNvPr id="23" name="AutoShape 39">
          <a:extLst>
            <a:ext uri="{FF2B5EF4-FFF2-40B4-BE49-F238E27FC236}">
              <a16:creationId xmlns="" xmlns:a16="http://schemas.microsoft.com/office/drawing/2014/main" id="{00000000-0008-0000-0500-000016170100}"/>
            </a:ext>
          </a:extLst>
        </xdr:cNvPr>
        <xdr:cNvSpPr>
          <a:spLocks noChangeArrowheads="1"/>
        </xdr:cNvSpPr>
      </xdr:nvSpPr>
      <xdr:spPr bwMode="auto">
        <a:xfrm>
          <a:off x="5781675" y="5400675"/>
          <a:ext cx="60007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26</xdr:row>
      <xdr:rowOff>0</xdr:rowOff>
    </xdr:from>
    <xdr:to>
      <xdr:col>36</xdr:col>
      <xdr:colOff>190500</xdr:colOff>
      <xdr:row>26</xdr:row>
      <xdr:rowOff>0</xdr:rowOff>
    </xdr:to>
    <xdr:sp macro="" textlink="">
      <xdr:nvSpPr>
        <xdr:cNvPr id="24" name="AutoShape 40">
          <a:extLst>
            <a:ext uri="{FF2B5EF4-FFF2-40B4-BE49-F238E27FC236}">
              <a16:creationId xmlns="" xmlns:a16="http://schemas.microsoft.com/office/drawing/2014/main" id="{00000000-0008-0000-0500-000017170100}"/>
            </a:ext>
          </a:extLst>
        </xdr:cNvPr>
        <xdr:cNvSpPr>
          <a:spLocks noChangeArrowheads="1"/>
        </xdr:cNvSpPr>
      </xdr:nvSpPr>
      <xdr:spPr bwMode="auto">
        <a:xfrm>
          <a:off x="5781675" y="5400675"/>
          <a:ext cx="60007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9525</xdr:colOff>
      <xdr:row>26</xdr:row>
      <xdr:rowOff>0</xdr:rowOff>
    </xdr:from>
    <xdr:to>
      <xdr:col>36</xdr:col>
      <xdr:colOff>190500</xdr:colOff>
      <xdr:row>26</xdr:row>
      <xdr:rowOff>0</xdr:rowOff>
    </xdr:to>
    <xdr:sp macro="" textlink="">
      <xdr:nvSpPr>
        <xdr:cNvPr id="25" name="AutoShape 41">
          <a:extLst>
            <a:ext uri="{FF2B5EF4-FFF2-40B4-BE49-F238E27FC236}">
              <a16:creationId xmlns="" xmlns:a16="http://schemas.microsoft.com/office/drawing/2014/main" id="{00000000-0008-0000-0500-000018170100}"/>
            </a:ext>
          </a:extLst>
        </xdr:cNvPr>
        <xdr:cNvSpPr>
          <a:spLocks noChangeArrowheads="1"/>
        </xdr:cNvSpPr>
      </xdr:nvSpPr>
      <xdr:spPr bwMode="auto">
        <a:xfrm>
          <a:off x="5781675" y="5400675"/>
          <a:ext cx="60007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76200</xdr:colOff>
      <xdr:row>5</xdr:row>
      <xdr:rowOff>57150</xdr:rowOff>
    </xdr:from>
    <xdr:to>
      <xdr:col>34</xdr:col>
      <xdr:colOff>76200</xdr:colOff>
      <xdr:row>8</xdr:row>
      <xdr:rowOff>76200</xdr:rowOff>
    </xdr:to>
    <xdr:sp macro="" textlink="">
      <xdr:nvSpPr>
        <xdr:cNvPr id="26" name="Line 42">
          <a:extLst>
            <a:ext uri="{FF2B5EF4-FFF2-40B4-BE49-F238E27FC236}">
              <a16:creationId xmlns="" xmlns:a16="http://schemas.microsoft.com/office/drawing/2014/main" id="{00000000-0008-0000-0500-000019170100}"/>
            </a:ext>
          </a:extLst>
        </xdr:cNvPr>
        <xdr:cNvSpPr>
          <a:spLocks noChangeShapeType="1"/>
        </xdr:cNvSpPr>
      </xdr:nvSpPr>
      <xdr:spPr bwMode="auto">
        <a:xfrm>
          <a:off x="5848350" y="1276350"/>
          <a:ext cx="0" cy="79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123825</xdr:colOff>
      <xdr:row>5</xdr:row>
      <xdr:rowOff>47625</xdr:rowOff>
    </xdr:from>
    <xdr:to>
      <xdr:col>27</xdr:col>
      <xdr:colOff>123825</xdr:colOff>
      <xdr:row>8</xdr:row>
      <xdr:rowOff>85725</xdr:rowOff>
    </xdr:to>
    <xdr:sp macro="" textlink="">
      <xdr:nvSpPr>
        <xdr:cNvPr id="27" name="Line 43">
          <a:extLst>
            <a:ext uri="{FF2B5EF4-FFF2-40B4-BE49-F238E27FC236}">
              <a16:creationId xmlns="" xmlns:a16="http://schemas.microsoft.com/office/drawing/2014/main" id="{00000000-0008-0000-0500-00001A170100}"/>
            </a:ext>
          </a:extLst>
        </xdr:cNvPr>
        <xdr:cNvSpPr>
          <a:spLocks noChangeShapeType="1"/>
        </xdr:cNvSpPr>
      </xdr:nvSpPr>
      <xdr:spPr bwMode="auto">
        <a:xfrm flipV="1">
          <a:off x="4429125" y="1266825"/>
          <a:ext cx="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38100</xdr:colOff>
      <xdr:row>5</xdr:row>
      <xdr:rowOff>114300</xdr:rowOff>
    </xdr:from>
    <xdr:to>
      <xdr:col>33</xdr:col>
      <xdr:colOff>171450</xdr:colOff>
      <xdr:row>8</xdr:row>
      <xdr:rowOff>114300</xdr:rowOff>
    </xdr:to>
    <xdr:sp macro="" textlink="">
      <xdr:nvSpPr>
        <xdr:cNvPr id="28" name="Line 44">
          <a:extLst>
            <a:ext uri="{FF2B5EF4-FFF2-40B4-BE49-F238E27FC236}">
              <a16:creationId xmlns="" xmlns:a16="http://schemas.microsoft.com/office/drawing/2014/main" id="{00000000-0008-0000-0500-00001B170100}"/>
            </a:ext>
          </a:extLst>
        </xdr:cNvPr>
        <xdr:cNvSpPr>
          <a:spLocks noChangeShapeType="1"/>
        </xdr:cNvSpPr>
      </xdr:nvSpPr>
      <xdr:spPr bwMode="auto">
        <a:xfrm flipH="1">
          <a:off x="4552950" y="1333500"/>
          <a:ext cx="1181100" cy="771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0</xdr:colOff>
      <xdr:row>5</xdr:row>
      <xdr:rowOff>76200</xdr:rowOff>
    </xdr:from>
    <xdr:to>
      <xdr:col>34</xdr:col>
      <xdr:colOff>0</xdr:colOff>
      <xdr:row>8</xdr:row>
      <xdr:rowOff>123825</xdr:rowOff>
    </xdr:to>
    <xdr:sp macro="" textlink="">
      <xdr:nvSpPr>
        <xdr:cNvPr id="29" name="Line 45">
          <a:extLst>
            <a:ext uri="{FF2B5EF4-FFF2-40B4-BE49-F238E27FC236}">
              <a16:creationId xmlns="" xmlns:a16="http://schemas.microsoft.com/office/drawing/2014/main" id="{00000000-0008-0000-0500-00001C170100}"/>
            </a:ext>
          </a:extLst>
        </xdr:cNvPr>
        <xdr:cNvSpPr>
          <a:spLocks noChangeShapeType="1"/>
        </xdr:cNvSpPr>
      </xdr:nvSpPr>
      <xdr:spPr bwMode="auto">
        <a:xfrm>
          <a:off x="4514850" y="1295400"/>
          <a:ext cx="1257300" cy="819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51</xdr:row>
      <xdr:rowOff>25400</xdr:rowOff>
    </xdr:from>
    <xdr:to>
      <xdr:col>13</xdr:col>
      <xdr:colOff>12700</xdr:colOff>
      <xdr:row>52</xdr:row>
      <xdr:rowOff>168275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xmlns="" id="{00000000-0008-0000-0600-00005A000000}"/>
            </a:ext>
          </a:extLst>
        </xdr:cNvPr>
        <xdr:cNvGrpSpPr/>
      </xdr:nvGrpSpPr>
      <xdr:grpSpPr>
        <a:xfrm>
          <a:off x="2993571" y="10761436"/>
          <a:ext cx="556986" cy="346982"/>
          <a:chOff x="5076825" y="1771650"/>
          <a:chExt cx="628650" cy="371475"/>
        </a:xfrm>
      </xdr:grpSpPr>
      <xdr:sp macro="" textlink="">
        <xdr:nvSpPr>
          <xdr:cNvPr id="3" name="AutoShape 208">
            <a:extLst>
              <a:ext uri="{FF2B5EF4-FFF2-40B4-BE49-F238E27FC236}">
                <a16:creationId xmlns:a16="http://schemas.microsoft.com/office/drawing/2014/main" xmlns="" id="{00000000-0008-0000-0600-00005B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xmlns="" id="{00000000-0008-0000-0600-00005C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xmlns="" id="{00000000-0008-0000-0600-00005D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7</xdr:col>
      <xdr:colOff>0</xdr:colOff>
      <xdr:row>47</xdr:row>
      <xdr:rowOff>25400</xdr:rowOff>
    </xdr:from>
    <xdr:to>
      <xdr:col>9</xdr:col>
      <xdr:colOff>12700</xdr:colOff>
      <xdr:row>48</xdr:row>
      <xdr:rowOff>168275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xmlns="" id="{00000000-0008-0000-0600-00005E000000}"/>
            </a:ext>
          </a:extLst>
        </xdr:cNvPr>
        <xdr:cNvGrpSpPr/>
      </xdr:nvGrpSpPr>
      <xdr:grpSpPr>
        <a:xfrm>
          <a:off x="1905000" y="9945007"/>
          <a:ext cx="556986" cy="346982"/>
          <a:chOff x="5076825" y="1771650"/>
          <a:chExt cx="628650" cy="371475"/>
        </a:xfrm>
      </xdr:grpSpPr>
      <xdr:sp macro="" textlink="">
        <xdr:nvSpPr>
          <xdr:cNvPr id="7" name="AutoShape 208">
            <a:extLst>
              <a:ext uri="{FF2B5EF4-FFF2-40B4-BE49-F238E27FC236}">
                <a16:creationId xmlns:a16="http://schemas.microsoft.com/office/drawing/2014/main" xmlns="" id="{00000000-0008-0000-0600-00005F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xmlns="" id="{00000000-0008-0000-0600-000060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xmlns="" id="{00000000-0008-0000-0600-000061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23</xdr:col>
      <xdr:colOff>0</xdr:colOff>
      <xdr:row>47</xdr:row>
      <xdr:rowOff>25400</xdr:rowOff>
    </xdr:from>
    <xdr:to>
      <xdr:col>25</xdr:col>
      <xdr:colOff>12700</xdr:colOff>
      <xdr:row>48</xdr:row>
      <xdr:rowOff>168275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xmlns="" id="{00000000-0008-0000-0600-000066000000}"/>
            </a:ext>
          </a:extLst>
        </xdr:cNvPr>
        <xdr:cNvGrpSpPr/>
      </xdr:nvGrpSpPr>
      <xdr:grpSpPr>
        <a:xfrm>
          <a:off x="6259286" y="9945007"/>
          <a:ext cx="556985" cy="346982"/>
          <a:chOff x="5076825" y="1771650"/>
          <a:chExt cx="628650" cy="371475"/>
        </a:xfrm>
      </xdr:grpSpPr>
      <xdr:sp macro="" textlink="">
        <xdr:nvSpPr>
          <xdr:cNvPr id="11" name="AutoShape 208">
            <a:extLst>
              <a:ext uri="{FF2B5EF4-FFF2-40B4-BE49-F238E27FC236}">
                <a16:creationId xmlns:a16="http://schemas.microsoft.com/office/drawing/2014/main" xmlns="" id="{00000000-0008-0000-0600-000067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xmlns="" id="{00000000-0008-0000-0600-000068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xmlns="" id="{00000000-0008-0000-0600-000069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36</xdr:col>
      <xdr:colOff>0</xdr:colOff>
      <xdr:row>44</xdr:row>
      <xdr:rowOff>25400</xdr:rowOff>
    </xdr:from>
    <xdr:to>
      <xdr:col>38</xdr:col>
      <xdr:colOff>12700</xdr:colOff>
      <xdr:row>45</xdr:row>
      <xdr:rowOff>168275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xmlns="" id="{00000000-0008-0000-0600-00006E000000}"/>
            </a:ext>
          </a:extLst>
        </xdr:cNvPr>
        <xdr:cNvGrpSpPr/>
      </xdr:nvGrpSpPr>
      <xdr:grpSpPr>
        <a:xfrm>
          <a:off x="9797143" y="9332686"/>
          <a:ext cx="556986" cy="346982"/>
          <a:chOff x="5076825" y="1771650"/>
          <a:chExt cx="628650" cy="371475"/>
        </a:xfrm>
      </xdr:grpSpPr>
      <xdr:sp macro="" textlink="">
        <xdr:nvSpPr>
          <xdr:cNvPr id="15" name="AutoShape 208">
            <a:extLst>
              <a:ext uri="{FF2B5EF4-FFF2-40B4-BE49-F238E27FC236}">
                <a16:creationId xmlns:a16="http://schemas.microsoft.com/office/drawing/2014/main" xmlns="" id="{00000000-0008-0000-0600-00006F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xmlns="" id="{00000000-0008-0000-0600-000070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xmlns="" id="{00000000-0008-0000-0600-000071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15</xdr:col>
      <xdr:colOff>0</xdr:colOff>
      <xdr:row>43</xdr:row>
      <xdr:rowOff>25400</xdr:rowOff>
    </xdr:from>
    <xdr:to>
      <xdr:col>17</xdr:col>
      <xdr:colOff>12700</xdr:colOff>
      <xdr:row>44</xdr:row>
      <xdr:rowOff>168275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xmlns="" id="{00000000-0008-0000-0600-000076000000}"/>
            </a:ext>
          </a:extLst>
        </xdr:cNvPr>
        <xdr:cNvGrpSpPr/>
      </xdr:nvGrpSpPr>
      <xdr:grpSpPr>
        <a:xfrm>
          <a:off x="4082143" y="9128579"/>
          <a:ext cx="556986" cy="346982"/>
          <a:chOff x="5076825" y="1771650"/>
          <a:chExt cx="628650" cy="371475"/>
        </a:xfrm>
      </xdr:grpSpPr>
      <xdr:sp macro="" textlink="">
        <xdr:nvSpPr>
          <xdr:cNvPr id="19" name="AutoShape 208">
            <a:extLst>
              <a:ext uri="{FF2B5EF4-FFF2-40B4-BE49-F238E27FC236}">
                <a16:creationId xmlns:a16="http://schemas.microsoft.com/office/drawing/2014/main" xmlns="" id="{00000000-0008-0000-0600-000077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xmlns="" id="{00000000-0008-0000-0600-000078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1" name="直線コネクタ 20">
            <a:extLst>
              <a:ext uri="{FF2B5EF4-FFF2-40B4-BE49-F238E27FC236}">
                <a16:creationId xmlns:a16="http://schemas.microsoft.com/office/drawing/2014/main" xmlns="" id="{00000000-0008-0000-0600-000079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11</xdr:col>
      <xdr:colOff>0</xdr:colOff>
      <xdr:row>21</xdr:row>
      <xdr:rowOff>25400</xdr:rowOff>
    </xdr:from>
    <xdr:to>
      <xdr:col>13</xdr:col>
      <xdr:colOff>12700</xdr:colOff>
      <xdr:row>22</xdr:row>
      <xdr:rowOff>168275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xmlns="" id="{00000000-0008-0000-0600-00007A000000}"/>
            </a:ext>
          </a:extLst>
        </xdr:cNvPr>
        <xdr:cNvGrpSpPr/>
      </xdr:nvGrpSpPr>
      <xdr:grpSpPr>
        <a:xfrm>
          <a:off x="2993571" y="4638221"/>
          <a:ext cx="556986" cy="346983"/>
          <a:chOff x="5076825" y="1771650"/>
          <a:chExt cx="628650" cy="371475"/>
        </a:xfrm>
      </xdr:grpSpPr>
      <xdr:sp macro="" textlink="">
        <xdr:nvSpPr>
          <xdr:cNvPr id="23" name="AutoShape 208">
            <a:extLst>
              <a:ext uri="{FF2B5EF4-FFF2-40B4-BE49-F238E27FC236}">
                <a16:creationId xmlns:a16="http://schemas.microsoft.com/office/drawing/2014/main" xmlns="" id="{00000000-0008-0000-0600-00007B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xmlns="" id="{00000000-0008-0000-0600-00007C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5" name="直線コネクタ 24">
            <a:extLst>
              <a:ext uri="{FF2B5EF4-FFF2-40B4-BE49-F238E27FC236}">
                <a16:creationId xmlns:a16="http://schemas.microsoft.com/office/drawing/2014/main" xmlns="" id="{00000000-0008-0000-0600-00007D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19</xdr:col>
      <xdr:colOff>0</xdr:colOff>
      <xdr:row>21</xdr:row>
      <xdr:rowOff>25400</xdr:rowOff>
    </xdr:from>
    <xdr:to>
      <xdr:col>21</xdr:col>
      <xdr:colOff>12700</xdr:colOff>
      <xdr:row>22</xdr:row>
      <xdr:rowOff>168275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xmlns="" id="{00000000-0008-0000-0600-000082000000}"/>
            </a:ext>
          </a:extLst>
        </xdr:cNvPr>
        <xdr:cNvGrpSpPr/>
      </xdr:nvGrpSpPr>
      <xdr:grpSpPr>
        <a:xfrm>
          <a:off x="5170714" y="4638221"/>
          <a:ext cx="556986" cy="346983"/>
          <a:chOff x="5076825" y="1771650"/>
          <a:chExt cx="628650" cy="371475"/>
        </a:xfrm>
      </xdr:grpSpPr>
      <xdr:sp macro="" textlink="">
        <xdr:nvSpPr>
          <xdr:cNvPr id="27" name="AutoShape 208">
            <a:extLst>
              <a:ext uri="{FF2B5EF4-FFF2-40B4-BE49-F238E27FC236}">
                <a16:creationId xmlns:a16="http://schemas.microsoft.com/office/drawing/2014/main" xmlns="" id="{00000000-0008-0000-0600-000083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xmlns="" id="{00000000-0008-0000-0600-000084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9" name="直線コネクタ 28">
            <a:extLst>
              <a:ext uri="{FF2B5EF4-FFF2-40B4-BE49-F238E27FC236}">
                <a16:creationId xmlns:a16="http://schemas.microsoft.com/office/drawing/2014/main" xmlns="" id="{00000000-0008-0000-0600-000085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36</xdr:col>
      <xdr:colOff>0</xdr:colOff>
      <xdr:row>14</xdr:row>
      <xdr:rowOff>25400</xdr:rowOff>
    </xdr:from>
    <xdr:to>
      <xdr:col>38</xdr:col>
      <xdr:colOff>12700</xdr:colOff>
      <xdr:row>15</xdr:row>
      <xdr:rowOff>168275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xmlns="" id="{00000000-0008-0000-0600-00008A000000}"/>
            </a:ext>
          </a:extLst>
        </xdr:cNvPr>
        <xdr:cNvGrpSpPr/>
      </xdr:nvGrpSpPr>
      <xdr:grpSpPr>
        <a:xfrm>
          <a:off x="9797143" y="3209471"/>
          <a:ext cx="556986" cy="346983"/>
          <a:chOff x="5076825" y="1771650"/>
          <a:chExt cx="628650" cy="371475"/>
        </a:xfrm>
      </xdr:grpSpPr>
      <xdr:sp macro="" textlink="">
        <xdr:nvSpPr>
          <xdr:cNvPr id="31" name="AutoShape 208">
            <a:extLst>
              <a:ext uri="{FF2B5EF4-FFF2-40B4-BE49-F238E27FC236}">
                <a16:creationId xmlns:a16="http://schemas.microsoft.com/office/drawing/2014/main" xmlns="" id="{00000000-0008-0000-0600-00008B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32" name="直線コネクタ 31">
            <a:extLst>
              <a:ext uri="{FF2B5EF4-FFF2-40B4-BE49-F238E27FC236}">
                <a16:creationId xmlns:a16="http://schemas.microsoft.com/office/drawing/2014/main" xmlns="" id="{00000000-0008-0000-0600-00008C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33" name="直線コネクタ 32">
            <a:extLst>
              <a:ext uri="{FF2B5EF4-FFF2-40B4-BE49-F238E27FC236}">
                <a16:creationId xmlns:a16="http://schemas.microsoft.com/office/drawing/2014/main" xmlns="" id="{00000000-0008-0000-0600-00008D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23</xdr:col>
      <xdr:colOff>0</xdr:colOff>
      <xdr:row>17</xdr:row>
      <xdr:rowOff>25400</xdr:rowOff>
    </xdr:from>
    <xdr:to>
      <xdr:col>25</xdr:col>
      <xdr:colOff>12700</xdr:colOff>
      <xdr:row>18</xdr:row>
      <xdr:rowOff>168275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xmlns="" id="{00000000-0008-0000-0600-000092000000}"/>
            </a:ext>
          </a:extLst>
        </xdr:cNvPr>
        <xdr:cNvGrpSpPr/>
      </xdr:nvGrpSpPr>
      <xdr:grpSpPr>
        <a:xfrm>
          <a:off x="6259286" y="3821793"/>
          <a:ext cx="556985" cy="346982"/>
          <a:chOff x="5076825" y="1771650"/>
          <a:chExt cx="628650" cy="371475"/>
        </a:xfrm>
      </xdr:grpSpPr>
      <xdr:sp macro="" textlink="">
        <xdr:nvSpPr>
          <xdr:cNvPr id="35" name="AutoShape 208">
            <a:extLst>
              <a:ext uri="{FF2B5EF4-FFF2-40B4-BE49-F238E27FC236}">
                <a16:creationId xmlns:a16="http://schemas.microsoft.com/office/drawing/2014/main" xmlns="" id="{00000000-0008-0000-0600-000093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36" name="直線コネクタ 35">
            <a:extLst>
              <a:ext uri="{FF2B5EF4-FFF2-40B4-BE49-F238E27FC236}">
                <a16:creationId xmlns:a16="http://schemas.microsoft.com/office/drawing/2014/main" xmlns="" id="{00000000-0008-0000-0600-000094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37" name="直線コネクタ 36">
            <a:extLst>
              <a:ext uri="{FF2B5EF4-FFF2-40B4-BE49-F238E27FC236}">
                <a16:creationId xmlns:a16="http://schemas.microsoft.com/office/drawing/2014/main" xmlns="" id="{00000000-0008-0000-0600-000095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7</xdr:col>
      <xdr:colOff>0</xdr:colOff>
      <xdr:row>17</xdr:row>
      <xdr:rowOff>25400</xdr:rowOff>
    </xdr:from>
    <xdr:to>
      <xdr:col>9</xdr:col>
      <xdr:colOff>12700</xdr:colOff>
      <xdr:row>18</xdr:row>
      <xdr:rowOff>168275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xmlns="" id="{00000000-0008-0000-0600-00009A000000}"/>
            </a:ext>
          </a:extLst>
        </xdr:cNvPr>
        <xdr:cNvGrpSpPr/>
      </xdr:nvGrpSpPr>
      <xdr:grpSpPr>
        <a:xfrm>
          <a:off x="1905000" y="3821793"/>
          <a:ext cx="556986" cy="346982"/>
          <a:chOff x="5076825" y="1771650"/>
          <a:chExt cx="628650" cy="371475"/>
        </a:xfrm>
      </xdr:grpSpPr>
      <xdr:sp macro="" textlink="">
        <xdr:nvSpPr>
          <xdr:cNvPr id="39" name="AutoShape 208">
            <a:extLst>
              <a:ext uri="{FF2B5EF4-FFF2-40B4-BE49-F238E27FC236}">
                <a16:creationId xmlns:a16="http://schemas.microsoft.com/office/drawing/2014/main" xmlns="" id="{00000000-0008-0000-0600-00009B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40" name="直線コネクタ 39">
            <a:extLst>
              <a:ext uri="{FF2B5EF4-FFF2-40B4-BE49-F238E27FC236}">
                <a16:creationId xmlns:a16="http://schemas.microsoft.com/office/drawing/2014/main" xmlns="" id="{00000000-0008-0000-0600-00009C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41" name="直線コネクタ 40">
            <a:extLst>
              <a:ext uri="{FF2B5EF4-FFF2-40B4-BE49-F238E27FC236}">
                <a16:creationId xmlns:a16="http://schemas.microsoft.com/office/drawing/2014/main" xmlns="" id="{00000000-0008-0000-0600-00009D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15</xdr:col>
      <xdr:colOff>0</xdr:colOff>
      <xdr:row>13</xdr:row>
      <xdr:rowOff>25400</xdr:rowOff>
    </xdr:from>
    <xdr:to>
      <xdr:col>17</xdr:col>
      <xdr:colOff>12700</xdr:colOff>
      <xdr:row>14</xdr:row>
      <xdr:rowOff>168275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xmlns="" id="{00000000-0008-0000-0600-00009E000000}"/>
            </a:ext>
          </a:extLst>
        </xdr:cNvPr>
        <xdr:cNvGrpSpPr/>
      </xdr:nvGrpSpPr>
      <xdr:grpSpPr>
        <a:xfrm>
          <a:off x="4082143" y="3005364"/>
          <a:ext cx="556986" cy="346982"/>
          <a:chOff x="5076825" y="1771650"/>
          <a:chExt cx="628650" cy="371475"/>
        </a:xfrm>
      </xdr:grpSpPr>
      <xdr:sp macro="" textlink="">
        <xdr:nvSpPr>
          <xdr:cNvPr id="43" name="AutoShape 208">
            <a:extLst>
              <a:ext uri="{FF2B5EF4-FFF2-40B4-BE49-F238E27FC236}">
                <a16:creationId xmlns:a16="http://schemas.microsoft.com/office/drawing/2014/main" xmlns="" id="{00000000-0008-0000-0600-00009F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44" name="直線コネクタ 43">
            <a:extLst>
              <a:ext uri="{FF2B5EF4-FFF2-40B4-BE49-F238E27FC236}">
                <a16:creationId xmlns:a16="http://schemas.microsoft.com/office/drawing/2014/main" xmlns="" id="{00000000-0008-0000-0600-0000A0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45" name="直線コネクタ 44">
            <a:extLst>
              <a:ext uri="{FF2B5EF4-FFF2-40B4-BE49-F238E27FC236}">
                <a16:creationId xmlns:a16="http://schemas.microsoft.com/office/drawing/2014/main" xmlns="" id="{00000000-0008-0000-0600-0000A1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19</xdr:col>
      <xdr:colOff>0</xdr:colOff>
      <xdr:row>51</xdr:row>
      <xdr:rowOff>25400</xdr:rowOff>
    </xdr:from>
    <xdr:to>
      <xdr:col>21</xdr:col>
      <xdr:colOff>12700</xdr:colOff>
      <xdr:row>52</xdr:row>
      <xdr:rowOff>168275</xdr:rowOff>
    </xdr:to>
    <xdr:grpSp>
      <xdr:nvGrpSpPr>
        <xdr:cNvPr id="46" name="グループ化 45">
          <a:extLst>
            <a:ext uri="{FF2B5EF4-FFF2-40B4-BE49-F238E27FC236}">
              <a16:creationId xmlns:a16="http://schemas.microsoft.com/office/drawing/2014/main" xmlns="" id="{00000000-0008-0000-0600-00005A000000}"/>
            </a:ext>
          </a:extLst>
        </xdr:cNvPr>
        <xdr:cNvGrpSpPr/>
      </xdr:nvGrpSpPr>
      <xdr:grpSpPr>
        <a:xfrm>
          <a:off x="5170714" y="10761436"/>
          <a:ext cx="556986" cy="346982"/>
          <a:chOff x="5076825" y="1771650"/>
          <a:chExt cx="628650" cy="371475"/>
        </a:xfrm>
      </xdr:grpSpPr>
      <xdr:sp macro="" textlink="">
        <xdr:nvSpPr>
          <xdr:cNvPr id="47" name="AutoShape 208">
            <a:extLst>
              <a:ext uri="{FF2B5EF4-FFF2-40B4-BE49-F238E27FC236}">
                <a16:creationId xmlns:a16="http://schemas.microsoft.com/office/drawing/2014/main" xmlns="" id="{00000000-0008-0000-0600-00005B000000}"/>
              </a:ext>
            </a:extLst>
          </xdr:cNvPr>
          <xdr:cNvSpPr>
            <a:spLocks noChangeArrowheads="1"/>
          </xdr:cNvSpPr>
        </xdr:nvSpPr>
        <xdr:spPr bwMode="auto">
          <a:xfrm>
            <a:off x="5076825" y="1771650"/>
            <a:ext cx="628650" cy="371475"/>
          </a:xfrm>
          <a:prstGeom prst="bracketPair">
            <a:avLst>
              <a:gd name="adj" fmla="val 909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48" name="直線コネクタ 47">
            <a:extLst>
              <a:ext uri="{FF2B5EF4-FFF2-40B4-BE49-F238E27FC236}">
                <a16:creationId xmlns:a16="http://schemas.microsoft.com/office/drawing/2014/main" xmlns="" id="{00000000-0008-0000-0600-00005C000000}"/>
              </a:ext>
            </a:extLst>
          </xdr:cNvPr>
          <xdr:cNvCxnSpPr/>
        </xdr:nvCxnSpPr>
        <xdr:spPr bwMode="auto">
          <a:xfrm>
            <a:off x="5353050" y="18478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49" name="直線コネクタ 48">
            <a:extLst>
              <a:ext uri="{FF2B5EF4-FFF2-40B4-BE49-F238E27FC236}">
                <a16:creationId xmlns:a16="http://schemas.microsoft.com/office/drawing/2014/main" xmlns="" id="{00000000-0008-0000-0600-00005D000000}"/>
              </a:ext>
            </a:extLst>
          </xdr:cNvPr>
          <xdr:cNvCxnSpPr/>
        </xdr:nvCxnSpPr>
        <xdr:spPr bwMode="auto">
          <a:xfrm>
            <a:off x="5353050" y="2076450"/>
            <a:ext cx="66675" cy="0"/>
          </a:xfrm>
          <a:prstGeom prst="lin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1%20&#20013;&#22269;&#22823;&#20250;&#12288;&#36939;&#21942;/14.&#20844;&#24335;&#35352;&#37682;/&#9733;&#9733;&#9733;2019&#20013;&#22269;&#20013;&#23398;&#29983;&#22823;&#20250;&#35352;&#37682;&#12501;&#12457;&#12540;&#12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0013;&#23398;&#26657;\&#20844;&#24335;&#35430;&#21512;&#35352;&#37682;\2017&#20013;&#22269;&#20013;&#23398;&#29983;&#22823;&#20250;&#26481;&#21407;&#12373;&#12435;&#12487;&#12540;&#124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程・対戦記録表"/>
      <sheetName val="男子A"/>
      <sheetName val="男子B"/>
      <sheetName val="女子a"/>
      <sheetName val="女子b"/>
      <sheetName val="組合せ表"/>
      <sheetName val="スターティングリスト"/>
      <sheetName val="公式試合記録"/>
      <sheetName val="参加チーム"/>
      <sheetName val="チームリスト"/>
      <sheetName val="リスト"/>
      <sheetName val="使用方法"/>
      <sheetName val="記録用紙（白紙）"/>
    </sheetNames>
    <sheetDataSet>
      <sheetData sheetId="0">
        <row r="47">
          <cell r="P47">
            <v>1</v>
          </cell>
          <cell r="Q47">
            <v>1</v>
          </cell>
          <cell r="R47">
            <v>1</v>
          </cell>
          <cell r="S47">
            <v>2</v>
          </cell>
          <cell r="AG47">
            <v>0</v>
          </cell>
          <cell r="AH47">
            <v>0</v>
          </cell>
          <cell r="AI47">
            <v>2</v>
          </cell>
          <cell r="AJ47">
            <v>6</v>
          </cell>
        </row>
        <row r="48">
          <cell r="P48"/>
          <cell r="Q48">
            <v>0</v>
          </cell>
          <cell r="R48">
            <v>1</v>
          </cell>
          <cell r="S48"/>
          <cell r="X48"/>
          <cell r="AA48"/>
          <cell r="AH48">
            <v>0</v>
          </cell>
          <cell r="AI48">
            <v>4</v>
          </cell>
        </row>
        <row r="49">
          <cell r="P49"/>
          <cell r="Q49" t="str">
            <v/>
          </cell>
          <cell r="R49"/>
          <cell r="S49"/>
          <cell r="Z49"/>
          <cell r="AG49"/>
          <cell r="AH49" t="str">
            <v/>
          </cell>
          <cell r="AJ49"/>
        </row>
        <row r="52">
          <cell r="P52">
            <v>10</v>
          </cell>
          <cell r="Q52">
            <v>5</v>
          </cell>
          <cell r="R52">
            <v>0</v>
          </cell>
          <cell r="S52">
            <v>0</v>
          </cell>
          <cell r="AG52">
            <v>3</v>
          </cell>
          <cell r="AH52">
            <v>1</v>
          </cell>
          <cell r="AI52">
            <v>6</v>
          </cell>
          <cell r="AJ52">
            <v>9</v>
          </cell>
        </row>
        <row r="53">
          <cell r="P53"/>
          <cell r="Q53">
            <v>5</v>
          </cell>
          <cell r="R53">
            <v>0</v>
          </cell>
          <cell r="S53"/>
          <cell r="AG53"/>
          <cell r="AH53">
            <v>2</v>
          </cell>
          <cell r="AI53">
            <v>3</v>
          </cell>
          <cell r="AJ53"/>
        </row>
        <row r="54">
          <cell r="P54"/>
          <cell r="Q54" t="str">
            <v/>
          </cell>
          <cell r="R54"/>
          <cell r="S54"/>
          <cell r="AG54"/>
          <cell r="AH54" t="str">
            <v/>
          </cell>
          <cell r="AI54"/>
          <cell r="AJ54"/>
        </row>
        <row r="57">
          <cell r="P57">
            <v>4</v>
          </cell>
          <cell r="Q57">
            <v>2</v>
          </cell>
          <cell r="R57">
            <v>1</v>
          </cell>
          <cell r="S57">
            <v>1</v>
          </cell>
          <cell r="AG57">
            <v>0</v>
          </cell>
          <cell r="AH57">
            <v>0</v>
          </cell>
          <cell r="AI57">
            <v>1</v>
          </cell>
          <cell r="AJ57">
            <v>5</v>
          </cell>
        </row>
        <row r="58">
          <cell r="P58"/>
          <cell r="Q58">
            <v>2</v>
          </cell>
          <cell r="R58">
            <v>0</v>
          </cell>
          <cell r="S58"/>
          <cell r="AG58"/>
          <cell r="AH58">
            <v>0</v>
          </cell>
          <cell r="AI58">
            <v>4</v>
          </cell>
          <cell r="AJ58"/>
        </row>
        <row r="59">
          <cell r="P59"/>
          <cell r="Q59" t="str">
            <v/>
          </cell>
          <cell r="R59"/>
          <cell r="S59"/>
          <cell r="AG59"/>
          <cell r="AH59" t="str">
            <v/>
          </cell>
          <cell r="AI59"/>
          <cell r="AJ59"/>
        </row>
        <row r="62">
          <cell r="P62">
            <v>1</v>
          </cell>
          <cell r="Q62">
            <v>0</v>
          </cell>
          <cell r="R62">
            <v>0</v>
          </cell>
          <cell r="S62">
            <v>1</v>
          </cell>
          <cell r="AG62">
            <v>6</v>
          </cell>
          <cell r="AH62">
            <v>4</v>
          </cell>
          <cell r="AI62">
            <v>1</v>
          </cell>
          <cell r="AJ62">
            <v>2</v>
          </cell>
        </row>
        <row r="63">
          <cell r="P63"/>
          <cell r="Q63">
            <v>1</v>
          </cell>
          <cell r="R63">
            <v>1</v>
          </cell>
          <cell r="S63"/>
          <cell r="AG63"/>
          <cell r="AH63">
            <v>2</v>
          </cell>
          <cell r="AI63">
            <v>1</v>
          </cell>
          <cell r="AJ63"/>
        </row>
        <row r="64">
          <cell r="P64">
            <v>1</v>
          </cell>
          <cell r="Q64" t="str">
            <v>SO</v>
          </cell>
          <cell r="R64"/>
          <cell r="S64">
            <v>3</v>
          </cell>
          <cell r="AG64"/>
          <cell r="AH64" t="str">
            <v/>
          </cell>
          <cell r="AI64"/>
          <cell r="AJ64"/>
        </row>
        <row r="68">
          <cell r="K68" t="str">
            <v>玖珂中</v>
          </cell>
          <cell r="P68">
            <v>1</v>
          </cell>
          <cell r="Q68">
            <v>0</v>
          </cell>
          <cell r="R68">
            <v>3</v>
          </cell>
          <cell r="S68">
            <v>4</v>
          </cell>
          <cell r="U68" t="str">
            <v>横田中</v>
          </cell>
          <cell r="AB68" t="str">
            <v>磐梨中</v>
          </cell>
          <cell r="AG68">
            <v>1</v>
          </cell>
          <cell r="AH68">
            <v>1</v>
          </cell>
          <cell r="AI68">
            <v>0</v>
          </cell>
          <cell r="AJ68">
            <v>2</v>
          </cell>
          <cell r="AL68" t="str">
            <v>八頭中</v>
          </cell>
        </row>
        <row r="69">
          <cell r="P69"/>
          <cell r="Q69">
            <v>1</v>
          </cell>
          <cell r="R69">
            <v>1</v>
          </cell>
          <cell r="S69"/>
          <cell r="AG69"/>
          <cell r="AH69">
            <v>0</v>
          </cell>
          <cell r="AI69">
            <v>2</v>
          </cell>
          <cell r="AJ69"/>
        </row>
        <row r="70">
          <cell r="P70"/>
          <cell r="Q70" t="str">
            <v/>
          </cell>
          <cell r="R70"/>
          <cell r="S70"/>
          <cell r="AG70"/>
          <cell r="AH70" t="str">
            <v/>
          </cell>
          <cell r="AI70"/>
          <cell r="AJ70"/>
        </row>
        <row r="71">
          <cell r="P71">
            <v>1</v>
          </cell>
          <cell r="S71">
            <v>4</v>
          </cell>
        </row>
        <row r="73">
          <cell r="K73" t="str">
            <v>仁多中</v>
          </cell>
          <cell r="P73">
            <v>1</v>
          </cell>
          <cell r="Q73">
            <v>0</v>
          </cell>
          <cell r="R73">
            <v>7</v>
          </cell>
          <cell r="S73">
            <v>12</v>
          </cell>
          <cell r="U73" t="str">
            <v>横田中</v>
          </cell>
          <cell r="AB73" t="str">
            <v>八頭中</v>
          </cell>
          <cell r="AG73">
            <v>2</v>
          </cell>
          <cell r="AH73">
            <v>1</v>
          </cell>
          <cell r="AI73">
            <v>1</v>
          </cell>
          <cell r="AJ73">
            <v>1</v>
          </cell>
          <cell r="AL73" t="str">
            <v>玖珂中</v>
          </cell>
        </row>
        <row r="74">
          <cell r="P74"/>
          <cell r="Q74">
            <v>1</v>
          </cell>
          <cell r="R74">
            <v>5</v>
          </cell>
          <cell r="S74"/>
          <cell r="AG74"/>
          <cell r="AH74">
            <v>1</v>
          </cell>
          <cell r="AI74">
            <v>0</v>
          </cell>
          <cell r="AJ74"/>
        </row>
        <row r="75">
          <cell r="P75"/>
          <cell r="Q75" t="str">
            <v/>
          </cell>
          <cell r="R75"/>
          <cell r="S75"/>
          <cell r="AG75"/>
          <cell r="AH75" t="str">
            <v/>
          </cell>
          <cell r="AI75"/>
          <cell r="AJ75"/>
        </row>
        <row r="76">
          <cell r="P76">
            <v>1</v>
          </cell>
          <cell r="S76">
            <v>12</v>
          </cell>
        </row>
      </sheetData>
      <sheetData sheetId="1">
        <row r="29">
          <cell r="AW29">
            <v>1</v>
          </cell>
          <cell r="AX29" t="str">
            <v>八頭中</v>
          </cell>
          <cell r="AY29" t="str">
            <v>B1</v>
          </cell>
        </row>
        <row r="30">
          <cell r="AW30">
            <v>2</v>
          </cell>
          <cell r="AX30" t="str">
            <v>横田中</v>
          </cell>
          <cell r="AY30" t="str">
            <v>B4</v>
          </cell>
        </row>
        <row r="31">
          <cell r="AW31">
            <v>3</v>
          </cell>
          <cell r="AX31" t="str">
            <v>磐梨中</v>
          </cell>
          <cell r="AY31" t="str">
            <v>B5</v>
          </cell>
        </row>
        <row r="32">
          <cell r="AW32">
            <v>4</v>
          </cell>
          <cell r="AX32" t="str">
            <v>高森み</v>
          </cell>
          <cell r="AY32" t="str">
            <v>B8</v>
          </cell>
        </row>
        <row r="38">
          <cell r="AP38">
            <v>4</v>
          </cell>
        </row>
      </sheetData>
      <sheetData sheetId="2">
        <row r="31">
          <cell r="AW31">
            <v>1</v>
          </cell>
          <cell r="AX31" t="str">
            <v>玖珂中</v>
          </cell>
          <cell r="AY31" t="str">
            <v>B7</v>
          </cell>
        </row>
        <row r="32">
          <cell r="AW32">
            <v>2</v>
          </cell>
          <cell r="AX32" t="str">
            <v>仁多中</v>
          </cell>
          <cell r="AY32" t="str">
            <v>B3</v>
          </cell>
        </row>
        <row r="33">
          <cell r="AW33">
            <v>3</v>
          </cell>
          <cell r="AX33" t="str">
            <v>瀬戸中</v>
          </cell>
          <cell r="AY33" t="str">
            <v>B6</v>
          </cell>
        </row>
        <row r="34">
          <cell r="AW34">
            <v>4</v>
          </cell>
          <cell r="AX34" t="str">
            <v>桜ヶ丘</v>
          </cell>
          <cell r="AY34" t="str">
            <v>B2</v>
          </cell>
        </row>
        <row r="40">
          <cell r="AP40">
            <v>3</v>
          </cell>
        </row>
      </sheetData>
      <sheetData sheetId="3">
        <row r="31">
          <cell r="AW31">
            <v>1</v>
          </cell>
          <cell r="AX31" t="str">
            <v>玖珂中</v>
          </cell>
          <cell r="AY31" t="str">
            <v>G7</v>
          </cell>
        </row>
        <row r="32">
          <cell r="AW32">
            <v>2</v>
          </cell>
          <cell r="AX32" t="str">
            <v>八頭中</v>
          </cell>
          <cell r="AY32" t="str">
            <v>G1</v>
          </cell>
        </row>
        <row r="33">
          <cell r="AW33">
            <v>3</v>
          </cell>
          <cell r="AX33" t="str">
            <v>磐梨中</v>
          </cell>
          <cell r="AY33" t="str">
            <v>G6</v>
          </cell>
        </row>
        <row r="34">
          <cell r="AW34">
            <v>4</v>
          </cell>
          <cell r="AX34" t="str">
            <v>仁多中</v>
          </cell>
          <cell r="AY34" t="str">
            <v>G4</v>
          </cell>
        </row>
        <row r="40">
          <cell r="AP40">
            <v>1</v>
          </cell>
        </row>
      </sheetData>
      <sheetData sheetId="4">
        <row r="31">
          <cell r="AW31">
            <v>1</v>
          </cell>
          <cell r="AX31" t="str">
            <v>横田中</v>
          </cell>
          <cell r="AY31" t="str">
            <v>G3</v>
          </cell>
        </row>
        <row r="32">
          <cell r="AW32">
            <v>2</v>
          </cell>
          <cell r="AX32" t="str">
            <v>瀬戸中</v>
          </cell>
          <cell r="AY32" t="str">
            <v>G5</v>
          </cell>
        </row>
        <row r="33">
          <cell r="AW33">
            <v>3</v>
          </cell>
          <cell r="AX33" t="str">
            <v>桜ヶ丘</v>
          </cell>
          <cell r="AY33" t="str">
            <v>G2</v>
          </cell>
        </row>
        <row r="34">
          <cell r="AW34">
            <v>4</v>
          </cell>
          <cell r="AX34" t="str">
            <v>高森み</v>
          </cell>
          <cell r="AY34" t="e">
            <v>#N/A</v>
          </cell>
        </row>
        <row r="40">
          <cell r="AP40">
            <v>2</v>
          </cell>
        </row>
      </sheetData>
      <sheetData sheetId="5">
        <row r="27">
          <cell r="D27" t="str">
            <v>八頭中</v>
          </cell>
          <cell r="J27" t="str">
            <v>仁多中</v>
          </cell>
          <cell r="N27" t="str">
            <v>磐梨中</v>
          </cell>
          <cell r="R27" t="str">
            <v>瀬戸中</v>
          </cell>
          <cell r="V27" t="str">
            <v>横田中</v>
          </cell>
          <cell r="AB27" t="str">
            <v>玖珂中</v>
          </cell>
        </row>
        <row r="57">
          <cell r="D57" t="str">
            <v>玖珂中</v>
          </cell>
          <cell r="J57" t="str">
            <v>瀬戸中</v>
          </cell>
          <cell r="N57" t="str">
            <v>磐梨中</v>
          </cell>
          <cell r="R57" t="str">
            <v>桜ヶ丘</v>
          </cell>
          <cell r="V57" t="str">
            <v>八頭中</v>
          </cell>
          <cell r="AB57" t="str">
            <v>横田中</v>
          </cell>
        </row>
      </sheetData>
      <sheetData sheetId="6"/>
      <sheetData sheetId="7"/>
      <sheetData sheetId="8">
        <row r="1">
          <cell r="B1" t="str">
            <v>第２５回中国中学生ホッケー選手権大会</v>
          </cell>
        </row>
        <row r="3">
          <cell r="J3" t="str">
            <v>三成公園ホッケー場</v>
          </cell>
        </row>
        <row r="5">
          <cell r="J5">
            <v>43672</v>
          </cell>
        </row>
        <row r="17">
          <cell r="E17">
            <v>8</v>
          </cell>
          <cell r="N17">
            <v>16</v>
          </cell>
        </row>
        <row r="21">
          <cell r="D21">
            <v>1</v>
          </cell>
          <cell r="E21" t="str">
            <v>B1</v>
          </cell>
          <cell r="F21" t="str">
            <v>八頭中  　  （男子）</v>
          </cell>
          <cell r="J21">
            <v>1</v>
          </cell>
          <cell r="K21" t="str">
            <v>A</v>
          </cell>
          <cell r="L21">
            <v>8</v>
          </cell>
          <cell r="M21" t="str">
            <v>G3</v>
          </cell>
          <cell r="N21" t="str">
            <v>横田中　　　　（女子）</v>
          </cell>
          <cell r="O21">
            <v>4</v>
          </cell>
          <cell r="P21" t="str">
            <v>G8</v>
          </cell>
          <cell r="Q21" t="str">
            <v>高森みどり・西岐波　   　（女子）</v>
          </cell>
        </row>
        <row r="22">
          <cell r="D22">
            <v>6</v>
          </cell>
          <cell r="E22" t="str">
            <v>B2</v>
          </cell>
          <cell r="F22" t="str">
            <v>桜ヶ丘中 　（男子）</v>
          </cell>
          <cell r="J22">
            <v>2</v>
          </cell>
          <cell r="K22" t="str">
            <v>B</v>
          </cell>
          <cell r="L22">
            <v>5</v>
          </cell>
          <cell r="M22" t="str">
            <v>G2</v>
          </cell>
          <cell r="N22" t="str">
            <v>桜ヶ丘中　　　（女子）</v>
          </cell>
          <cell r="O22">
            <v>2</v>
          </cell>
          <cell r="P22" t="str">
            <v>G5</v>
          </cell>
          <cell r="Q22" t="str">
            <v>瀬戸中　　　　（女子）</v>
          </cell>
        </row>
        <row r="23">
          <cell r="D23">
            <v>2</v>
          </cell>
          <cell r="E23" t="str">
            <v>B3</v>
          </cell>
          <cell r="F23" t="str">
            <v>仁多中   　（男子）</v>
          </cell>
          <cell r="J23">
            <v>3</v>
          </cell>
          <cell r="K23" t="str">
            <v>A</v>
          </cell>
          <cell r="L23">
            <v>1</v>
          </cell>
          <cell r="M23" t="str">
            <v>G1</v>
          </cell>
          <cell r="N23" t="str">
            <v>八頭中　　　　（女子）</v>
          </cell>
          <cell r="O23">
            <v>3</v>
          </cell>
          <cell r="P23" t="str">
            <v>G4</v>
          </cell>
          <cell r="Q23" t="str">
            <v>仁多中　　　　（女子）</v>
          </cell>
        </row>
        <row r="24">
          <cell r="D24">
            <v>4</v>
          </cell>
          <cell r="E24" t="str">
            <v>B4</v>
          </cell>
          <cell r="F24" t="str">
            <v>横田中   　（男子）</v>
          </cell>
          <cell r="J24">
            <v>4</v>
          </cell>
          <cell r="K24" t="str">
            <v>B</v>
          </cell>
          <cell r="L24">
            <v>7</v>
          </cell>
          <cell r="M24" t="str">
            <v>G6</v>
          </cell>
          <cell r="N24" t="str">
            <v>磐梨中　　　　（女子）</v>
          </cell>
          <cell r="O24">
            <v>6</v>
          </cell>
          <cell r="P24" t="str">
            <v>G7</v>
          </cell>
          <cell r="Q24" t="str">
            <v>玖珂中　　　　　（女子）</v>
          </cell>
        </row>
        <row r="25">
          <cell r="D25">
            <v>3</v>
          </cell>
          <cell r="E25" t="str">
            <v>B5</v>
          </cell>
          <cell r="F25" t="str">
            <v>磐梨中   　（男子）</v>
          </cell>
          <cell r="J25">
            <v>5</v>
          </cell>
          <cell r="K25" t="str">
            <v>A</v>
          </cell>
          <cell r="L25">
            <v>2</v>
          </cell>
          <cell r="M25" t="str">
            <v>B3</v>
          </cell>
          <cell r="N25" t="str">
            <v>仁多中   　（男子）</v>
          </cell>
          <cell r="O25">
            <v>6</v>
          </cell>
          <cell r="P25" t="str">
            <v>B2</v>
          </cell>
          <cell r="Q25" t="str">
            <v>桜ヶ丘中 　（男子）</v>
          </cell>
        </row>
        <row r="26">
          <cell r="D26">
            <v>7</v>
          </cell>
          <cell r="E26" t="str">
            <v>B6</v>
          </cell>
          <cell r="F26" t="str">
            <v>瀬戸中   　（男子）</v>
          </cell>
          <cell r="J26">
            <v>6</v>
          </cell>
          <cell r="K26" t="str">
            <v>B</v>
          </cell>
          <cell r="L26">
            <v>5</v>
          </cell>
          <cell r="M26" t="str">
            <v>B7</v>
          </cell>
          <cell r="N26" t="str">
            <v>玖珂中   　（男子）</v>
          </cell>
          <cell r="O26">
            <v>7</v>
          </cell>
          <cell r="P26" t="str">
            <v>B6</v>
          </cell>
          <cell r="Q26" t="str">
            <v>瀬戸中   　（男子）</v>
          </cell>
        </row>
        <row r="27">
          <cell r="D27">
            <v>5</v>
          </cell>
          <cell r="E27" t="str">
            <v>B7</v>
          </cell>
          <cell r="F27" t="str">
            <v>玖珂中   　（男子）</v>
          </cell>
          <cell r="J27">
            <v>7</v>
          </cell>
          <cell r="K27" t="str">
            <v>A</v>
          </cell>
          <cell r="L27">
            <v>1</v>
          </cell>
          <cell r="M27" t="str">
            <v>B1</v>
          </cell>
          <cell r="N27" t="str">
            <v>八頭中  　  （男子）</v>
          </cell>
          <cell r="O27">
            <v>3</v>
          </cell>
          <cell r="P27" t="str">
            <v>B5</v>
          </cell>
          <cell r="Q27" t="str">
            <v>磐梨中   　（男子）</v>
          </cell>
        </row>
        <row r="28">
          <cell r="D28">
            <v>8</v>
          </cell>
          <cell r="E28" t="str">
            <v>B8</v>
          </cell>
          <cell r="F28" t="str">
            <v>高森みどり中　（男子）</v>
          </cell>
          <cell r="J28">
            <v>8</v>
          </cell>
          <cell r="K28" t="str">
            <v>B</v>
          </cell>
          <cell r="L28">
            <v>4</v>
          </cell>
          <cell r="M28" t="str">
            <v>B4</v>
          </cell>
          <cell r="N28" t="str">
            <v>横田中   　（男子）</v>
          </cell>
          <cell r="O28">
            <v>8</v>
          </cell>
          <cell r="P28" t="str">
            <v>B8</v>
          </cell>
          <cell r="Q28" t="str">
            <v>高森みどり中　（男子）</v>
          </cell>
        </row>
        <row r="29">
          <cell r="D29">
            <v>1</v>
          </cell>
          <cell r="E29" t="str">
            <v>G1</v>
          </cell>
          <cell r="F29" t="str">
            <v>八頭中　　　　（女子）</v>
          </cell>
          <cell r="J29">
            <v>9</v>
          </cell>
          <cell r="K29" t="str">
            <v>A</v>
          </cell>
          <cell r="L29">
            <v>4</v>
          </cell>
          <cell r="M29" t="str">
            <v>G8</v>
          </cell>
          <cell r="N29" t="str">
            <v>高森みどり・西岐波　   　（女子）</v>
          </cell>
          <cell r="O29">
            <v>5</v>
          </cell>
          <cell r="P29" t="str">
            <v>G2</v>
          </cell>
          <cell r="Q29" t="str">
            <v>桜ヶ丘中　　　（女子）</v>
          </cell>
        </row>
        <row r="30">
          <cell r="D30">
            <v>5</v>
          </cell>
          <cell r="E30" t="str">
            <v>G2</v>
          </cell>
          <cell r="F30" t="str">
            <v>桜ヶ丘中　　　（女子）</v>
          </cell>
          <cell r="J30">
            <v>10</v>
          </cell>
          <cell r="K30" t="str">
            <v>B</v>
          </cell>
          <cell r="L30">
            <v>8</v>
          </cell>
          <cell r="M30" t="str">
            <v>G3</v>
          </cell>
          <cell r="N30" t="str">
            <v>横田中　　　　（女子）</v>
          </cell>
          <cell r="O30">
            <v>2</v>
          </cell>
          <cell r="P30" t="str">
            <v>G5</v>
          </cell>
          <cell r="Q30" t="str">
            <v>瀬戸中　　　　（女子）</v>
          </cell>
        </row>
        <row r="31">
          <cell r="D31">
            <v>8</v>
          </cell>
          <cell r="E31" t="str">
            <v>G3</v>
          </cell>
          <cell r="F31" t="str">
            <v>横田中　　　　（女子）</v>
          </cell>
          <cell r="J31">
            <v>11</v>
          </cell>
          <cell r="K31" t="str">
            <v>A</v>
          </cell>
          <cell r="L31">
            <v>3</v>
          </cell>
          <cell r="M31" t="str">
            <v>G4</v>
          </cell>
          <cell r="N31" t="str">
            <v>仁多中　　　　（女子）</v>
          </cell>
          <cell r="O31">
            <v>7</v>
          </cell>
          <cell r="P31" t="str">
            <v>G6</v>
          </cell>
          <cell r="Q31" t="str">
            <v>磐梨中　　　　（女子）</v>
          </cell>
        </row>
        <row r="32">
          <cell r="D32">
            <v>3</v>
          </cell>
          <cell r="E32" t="str">
            <v>G4</v>
          </cell>
          <cell r="F32" t="str">
            <v>仁多中　　　　（女子）</v>
          </cell>
          <cell r="J32">
            <v>12</v>
          </cell>
          <cell r="K32" t="str">
            <v>B</v>
          </cell>
          <cell r="L32">
            <v>1</v>
          </cell>
          <cell r="M32" t="str">
            <v>G1</v>
          </cell>
          <cell r="N32" t="str">
            <v>八頭中　　　　（女子）</v>
          </cell>
          <cell r="O32">
            <v>6</v>
          </cell>
          <cell r="P32" t="str">
            <v>G7</v>
          </cell>
          <cell r="Q32" t="str">
            <v>玖珂中　　　　　（女子）</v>
          </cell>
        </row>
        <row r="33">
          <cell r="D33">
            <v>2</v>
          </cell>
          <cell r="E33" t="str">
            <v>G5</v>
          </cell>
          <cell r="F33" t="str">
            <v>瀬戸中　　　　（女子）</v>
          </cell>
          <cell r="J33">
            <v>13</v>
          </cell>
          <cell r="K33" t="str">
            <v>A</v>
          </cell>
          <cell r="L33">
            <v>6</v>
          </cell>
          <cell r="M33" t="str">
            <v>B2</v>
          </cell>
          <cell r="N33" t="str">
            <v>桜ヶ丘中 　（男子）</v>
          </cell>
          <cell r="O33">
            <v>5</v>
          </cell>
          <cell r="P33" t="str">
            <v>B7</v>
          </cell>
          <cell r="Q33" t="str">
            <v>玖珂中   　（男子）</v>
          </cell>
        </row>
        <row r="34">
          <cell r="D34">
            <v>7</v>
          </cell>
          <cell r="E34" t="str">
            <v>G6</v>
          </cell>
          <cell r="F34" t="str">
            <v>磐梨中　　　　（女子）</v>
          </cell>
          <cell r="J34">
            <v>14</v>
          </cell>
          <cell r="K34" t="str">
            <v>B</v>
          </cell>
          <cell r="L34">
            <v>2</v>
          </cell>
          <cell r="M34" t="str">
            <v>B3</v>
          </cell>
          <cell r="N34" t="str">
            <v>仁多中   　（男子）</v>
          </cell>
          <cell r="O34">
            <v>7</v>
          </cell>
          <cell r="P34" t="str">
            <v>B6</v>
          </cell>
          <cell r="Q34" t="str">
            <v>瀬戸中   　（男子）</v>
          </cell>
        </row>
        <row r="35">
          <cell r="D35">
            <v>6</v>
          </cell>
          <cell r="E35" t="str">
            <v>G7</v>
          </cell>
          <cell r="F35" t="str">
            <v>玖珂中　　　　　（女子）</v>
          </cell>
          <cell r="J35">
            <v>15</v>
          </cell>
          <cell r="K35" t="str">
            <v>A</v>
          </cell>
          <cell r="L35">
            <v>3</v>
          </cell>
          <cell r="M35" t="str">
            <v>B5</v>
          </cell>
          <cell r="N35" t="str">
            <v>磐梨中   　（男子）</v>
          </cell>
          <cell r="O35">
            <v>4</v>
          </cell>
          <cell r="P35" t="str">
            <v>B4</v>
          </cell>
          <cell r="Q35" t="str">
            <v>横田中   　（男子）</v>
          </cell>
        </row>
        <row r="36">
          <cell r="D36">
            <v>4</v>
          </cell>
          <cell r="E36" t="str">
            <v>G8</v>
          </cell>
          <cell r="F36" t="str">
            <v>高森みどり・西岐波　   　（女子）</v>
          </cell>
          <cell r="J36">
            <v>16</v>
          </cell>
          <cell r="K36" t="str">
            <v>B</v>
          </cell>
          <cell r="L36">
            <v>1</v>
          </cell>
          <cell r="M36" t="str">
            <v>B1</v>
          </cell>
          <cell r="N36" t="str">
            <v>八頭中  　  （男子）</v>
          </cell>
          <cell r="O36">
            <v>8</v>
          </cell>
          <cell r="P36" t="str">
            <v>B8</v>
          </cell>
          <cell r="Q36" t="str">
            <v>高森みどり中　（男子）</v>
          </cell>
        </row>
        <row r="37">
          <cell r="J37">
            <v>17</v>
          </cell>
          <cell r="K37" t="str">
            <v>A</v>
          </cell>
          <cell r="L37">
            <v>4</v>
          </cell>
          <cell r="M37" t="str">
            <v>G8</v>
          </cell>
          <cell r="N37" t="str">
            <v>高森みどり・西岐波　   　（女子）</v>
          </cell>
          <cell r="O37">
            <v>2</v>
          </cell>
          <cell r="P37" t="str">
            <v>G5</v>
          </cell>
          <cell r="Q37" t="str">
            <v>瀬戸中　　　　（女子）</v>
          </cell>
        </row>
        <row r="38">
          <cell r="J38">
            <v>18</v>
          </cell>
          <cell r="K38" t="str">
            <v>B</v>
          </cell>
          <cell r="L38">
            <v>8</v>
          </cell>
          <cell r="M38" t="str">
            <v>G3</v>
          </cell>
          <cell r="N38" t="str">
            <v>横田中　　　　（女子）</v>
          </cell>
          <cell r="O38">
            <v>5</v>
          </cell>
          <cell r="P38" t="str">
            <v>G2</v>
          </cell>
          <cell r="Q38" t="str">
            <v>桜ヶ丘中　　　（女子）</v>
          </cell>
        </row>
        <row r="39">
          <cell r="J39">
            <v>19</v>
          </cell>
          <cell r="K39" t="str">
            <v>A</v>
          </cell>
          <cell r="L39">
            <v>3</v>
          </cell>
          <cell r="M39" t="str">
            <v>G4</v>
          </cell>
          <cell r="N39" t="str">
            <v>仁多中　　　　（女子）</v>
          </cell>
          <cell r="O39">
            <v>6</v>
          </cell>
          <cell r="P39" t="str">
            <v>G7</v>
          </cell>
          <cell r="Q39" t="str">
            <v>玖珂中　　　　　（女子）</v>
          </cell>
        </row>
        <row r="40">
          <cell r="J40">
            <v>20</v>
          </cell>
          <cell r="K40" t="str">
            <v>B</v>
          </cell>
          <cell r="L40">
            <v>1</v>
          </cell>
          <cell r="M40" t="str">
            <v>G1</v>
          </cell>
          <cell r="N40" t="str">
            <v>八頭中　　　　（女子）</v>
          </cell>
          <cell r="O40">
            <v>7</v>
          </cell>
          <cell r="P40" t="str">
            <v>G6</v>
          </cell>
          <cell r="Q40" t="str">
            <v>磐梨中　　　　（女子）</v>
          </cell>
        </row>
        <row r="41">
          <cell r="J41">
            <v>21</v>
          </cell>
          <cell r="K41" t="str">
            <v>A</v>
          </cell>
          <cell r="L41">
            <v>6</v>
          </cell>
          <cell r="M41" t="str">
            <v>B2</v>
          </cell>
          <cell r="N41" t="str">
            <v>桜ヶ丘中 　（男子）</v>
          </cell>
          <cell r="O41">
            <v>7</v>
          </cell>
          <cell r="P41" t="str">
            <v>B6</v>
          </cell>
          <cell r="Q41" t="str">
            <v>瀬戸中   　（男子）</v>
          </cell>
        </row>
        <row r="42">
          <cell r="J42">
            <v>22</v>
          </cell>
          <cell r="K42" t="str">
            <v>B</v>
          </cell>
          <cell r="L42">
            <v>2</v>
          </cell>
          <cell r="M42" t="str">
            <v>B3</v>
          </cell>
          <cell r="N42" t="str">
            <v>仁多中   　（男子）</v>
          </cell>
          <cell r="O42">
            <v>5</v>
          </cell>
          <cell r="P42" t="str">
            <v>B7</v>
          </cell>
          <cell r="Q42" t="str">
            <v>玖珂中   　（男子）</v>
          </cell>
        </row>
        <row r="43">
          <cell r="J43">
            <v>23</v>
          </cell>
          <cell r="K43" t="str">
            <v>A</v>
          </cell>
          <cell r="L43">
            <v>3</v>
          </cell>
          <cell r="M43" t="str">
            <v>B5</v>
          </cell>
          <cell r="N43" t="str">
            <v>磐梨中   　（男子）</v>
          </cell>
          <cell r="O43">
            <v>8</v>
          </cell>
          <cell r="P43" t="str">
            <v>B8</v>
          </cell>
          <cell r="Q43" t="str">
            <v>高森みどり中　（男子）</v>
          </cell>
        </row>
        <row r="44">
          <cell r="J44">
            <v>24</v>
          </cell>
          <cell r="K44" t="str">
            <v>B</v>
          </cell>
          <cell r="L44">
            <v>1</v>
          </cell>
          <cell r="M44" t="str">
            <v>B1</v>
          </cell>
          <cell r="N44" t="str">
            <v>八頭中  　  （男子）</v>
          </cell>
          <cell r="O44">
            <v>4</v>
          </cell>
          <cell r="P44" t="str">
            <v>B4</v>
          </cell>
          <cell r="Q44" t="str">
            <v>横田中   　（男子）</v>
          </cell>
        </row>
        <row r="45">
          <cell r="J45">
            <v>25</v>
          </cell>
          <cell r="K45" t="str">
            <v>A</v>
          </cell>
          <cell r="L45">
            <v>2</v>
          </cell>
          <cell r="M45" t="str">
            <v>G5</v>
          </cell>
          <cell r="N45" t="str">
            <v>瀬戸中　　　　（女子）</v>
          </cell>
          <cell r="O45">
            <v>7</v>
          </cell>
          <cell r="P45" t="str">
            <v>G6</v>
          </cell>
          <cell r="Q45" t="str">
            <v>磐梨中　　　　（女子）</v>
          </cell>
        </row>
        <row r="46">
          <cell r="J46">
            <v>26</v>
          </cell>
          <cell r="K46" t="str">
            <v>B</v>
          </cell>
          <cell r="L46">
            <v>5</v>
          </cell>
          <cell r="M46" t="str">
            <v>G2</v>
          </cell>
          <cell r="N46" t="str">
            <v>桜ヶ丘中　　　（女子）</v>
          </cell>
          <cell r="O46">
            <v>1</v>
          </cell>
          <cell r="P46" t="str">
            <v>G1</v>
          </cell>
          <cell r="Q46" t="str">
            <v>八頭中　　　　（女子）</v>
          </cell>
        </row>
        <row r="47">
          <cell r="J47">
            <v>27</v>
          </cell>
          <cell r="K47" t="str">
            <v>A</v>
          </cell>
          <cell r="L47">
            <v>2</v>
          </cell>
          <cell r="M47" t="str">
            <v>B3</v>
          </cell>
          <cell r="N47" t="str">
            <v>仁多中   　（男子）</v>
          </cell>
          <cell r="O47">
            <v>3</v>
          </cell>
          <cell r="P47" t="str">
            <v>B5</v>
          </cell>
          <cell r="Q47" t="str">
            <v>磐梨中   　（男子）</v>
          </cell>
        </row>
        <row r="48">
          <cell r="J48">
            <v>28</v>
          </cell>
          <cell r="K48" t="str">
            <v>B</v>
          </cell>
          <cell r="L48">
            <v>7</v>
          </cell>
          <cell r="M48" t="str">
            <v>B6</v>
          </cell>
          <cell r="N48" t="str">
            <v>瀬戸中   　（男子）</v>
          </cell>
          <cell r="O48">
            <v>4</v>
          </cell>
          <cell r="P48" t="str">
            <v>B4</v>
          </cell>
          <cell r="Q48" t="str">
            <v>横田中   　（男子）</v>
          </cell>
        </row>
        <row r="49">
          <cell r="J49">
            <v>29</v>
          </cell>
          <cell r="K49" t="str">
            <v>A</v>
          </cell>
          <cell r="L49">
            <v>6</v>
          </cell>
          <cell r="M49" t="str">
            <v>G7</v>
          </cell>
          <cell r="N49" t="str">
            <v>玖珂中　　　　　（女子）</v>
          </cell>
          <cell r="O49">
            <v>7</v>
          </cell>
          <cell r="P49" t="str">
            <v>G6</v>
          </cell>
          <cell r="Q49" t="str">
            <v>磐梨中　　　　（女子）</v>
          </cell>
        </row>
        <row r="50">
          <cell r="J50">
            <v>30</v>
          </cell>
          <cell r="K50" t="str">
            <v>B</v>
          </cell>
          <cell r="L50">
            <v>1</v>
          </cell>
          <cell r="M50" t="str">
            <v>G1</v>
          </cell>
          <cell r="N50" t="str">
            <v>八頭中　　　　（女子）</v>
          </cell>
          <cell r="O50">
            <v>8</v>
          </cell>
          <cell r="P50" t="str">
            <v>G3</v>
          </cell>
          <cell r="Q50" t="str">
            <v>横田中　　　　（女子）</v>
          </cell>
        </row>
        <row r="51">
          <cell r="J51">
            <v>31</v>
          </cell>
          <cell r="K51" t="str">
            <v>A</v>
          </cell>
          <cell r="L51">
            <v>1</v>
          </cell>
          <cell r="M51" t="str">
            <v>B1</v>
          </cell>
          <cell r="N51" t="str">
            <v>八頭中  　  （男子）</v>
          </cell>
          <cell r="O51">
            <v>2</v>
          </cell>
          <cell r="P51" t="str">
            <v>B3</v>
          </cell>
          <cell r="Q51" t="str">
            <v>仁多中   　（男子）</v>
          </cell>
        </row>
        <row r="52">
          <cell r="J52">
            <v>32</v>
          </cell>
          <cell r="K52" t="str">
            <v>B</v>
          </cell>
          <cell r="L52">
            <v>4</v>
          </cell>
          <cell r="M52" t="str">
            <v>B4</v>
          </cell>
          <cell r="N52" t="str">
            <v>横田中   　（男子）</v>
          </cell>
          <cell r="O52">
            <v>5</v>
          </cell>
          <cell r="P52" t="str">
            <v>B7</v>
          </cell>
          <cell r="Q52" t="str">
            <v>玖珂中   　（男子）</v>
          </cell>
        </row>
        <row r="53">
          <cell r="J53">
            <v>33</v>
          </cell>
          <cell r="K53" t="str">
            <v>A</v>
          </cell>
          <cell r="L53">
            <v>6</v>
          </cell>
          <cell r="M53" t="str">
            <v>G7</v>
          </cell>
          <cell r="N53" t="str">
            <v>玖珂中　　　　　（女子）</v>
          </cell>
          <cell r="O53">
            <v>8</v>
          </cell>
          <cell r="P53" t="str">
            <v>G3</v>
          </cell>
          <cell r="Q53" t="str">
            <v>横田中　　　　（女子）</v>
          </cell>
        </row>
        <row r="54">
          <cell r="J54">
            <v>34</v>
          </cell>
          <cell r="K54" t="str">
            <v>B</v>
          </cell>
          <cell r="L54">
            <v>7</v>
          </cell>
          <cell r="M54" t="str">
            <v>G6</v>
          </cell>
          <cell r="N54" t="str">
            <v>磐梨中　　　　（女子）</v>
          </cell>
          <cell r="O54">
            <v>1</v>
          </cell>
          <cell r="P54" t="str">
            <v>G1</v>
          </cell>
          <cell r="Q54" t="str">
            <v>八頭中　　　　（女子）</v>
          </cell>
        </row>
        <row r="55">
          <cell r="J55">
            <v>35</v>
          </cell>
          <cell r="K55" t="str">
            <v>A</v>
          </cell>
          <cell r="L55">
            <v>2</v>
          </cell>
          <cell r="M55" t="str">
            <v>B3</v>
          </cell>
          <cell r="N55" t="str">
            <v>仁多中   　（男子）</v>
          </cell>
          <cell r="O55">
            <v>4</v>
          </cell>
          <cell r="P55" t="str">
            <v>B4</v>
          </cell>
          <cell r="Q55" t="str">
            <v>横田中   　（男子）</v>
          </cell>
        </row>
        <row r="56">
          <cell r="J56">
            <v>36</v>
          </cell>
          <cell r="K56" t="str">
            <v>B</v>
          </cell>
          <cell r="L56">
            <v>1</v>
          </cell>
          <cell r="M56" t="str">
            <v>B1</v>
          </cell>
          <cell r="N56" t="str">
            <v>八頭中  　  （男子）</v>
          </cell>
          <cell r="O56">
            <v>5</v>
          </cell>
          <cell r="P56" t="str">
            <v>B7</v>
          </cell>
          <cell r="Q56" t="str">
            <v>玖珂中   　（男子）</v>
          </cell>
        </row>
      </sheetData>
      <sheetData sheetId="9"/>
      <sheetData sheetId="10">
        <row r="2">
          <cell r="C2">
            <v>1</v>
          </cell>
          <cell r="D2" t="str">
            <v>14：00</v>
          </cell>
          <cell r="E2" t="str">
            <v>14：35</v>
          </cell>
          <cell r="F2" t="str">
            <v>A</v>
          </cell>
        </row>
        <row r="3">
          <cell r="C3">
            <v>2</v>
          </cell>
          <cell r="D3" t="str">
            <v>14：00</v>
          </cell>
          <cell r="E3" t="str">
            <v>14：35</v>
          </cell>
          <cell r="F3" t="str">
            <v>B</v>
          </cell>
        </row>
        <row r="4">
          <cell r="C4">
            <v>3</v>
          </cell>
          <cell r="D4" t="str">
            <v>14：40</v>
          </cell>
          <cell r="E4" t="str">
            <v>15：15</v>
          </cell>
          <cell r="F4" t="str">
            <v>A</v>
          </cell>
        </row>
        <row r="5">
          <cell r="C5">
            <v>4</v>
          </cell>
          <cell r="D5" t="str">
            <v>14：40</v>
          </cell>
          <cell r="E5" t="str">
            <v>15：15</v>
          </cell>
          <cell r="F5" t="str">
            <v>B</v>
          </cell>
        </row>
        <row r="6">
          <cell r="C6">
            <v>5</v>
          </cell>
          <cell r="D6" t="str">
            <v>15：30</v>
          </cell>
          <cell r="E6" t="str">
            <v>16：05</v>
          </cell>
          <cell r="F6" t="str">
            <v>A</v>
          </cell>
        </row>
        <row r="7">
          <cell r="C7">
            <v>6</v>
          </cell>
          <cell r="D7" t="str">
            <v>15：30</v>
          </cell>
          <cell r="E7" t="str">
            <v>16：05</v>
          </cell>
          <cell r="F7" t="str">
            <v>B</v>
          </cell>
        </row>
        <row r="8">
          <cell r="C8">
            <v>7</v>
          </cell>
          <cell r="D8" t="str">
            <v>16：10</v>
          </cell>
          <cell r="E8" t="str">
            <v>16：45</v>
          </cell>
          <cell r="F8" t="str">
            <v>A</v>
          </cell>
        </row>
        <row r="9">
          <cell r="C9">
            <v>8</v>
          </cell>
          <cell r="D9" t="str">
            <v>16：10</v>
          </cell>
          <cell r="E9" t="str">
            <v>16：45</v>
          </cell>
          <cell r="F9" t="str">
            <v>B</v>
          </cell>
        </row>
        <row r="10">
          <cell r="C10">
            <v>9</v>
          </cell>
          <cell r="D10" t="str">
            <v>10：00</v>
          </cell>
          <cell r="E10" t="str">
            <v>10：35</v>
          </cell>
          <cell r="F10" t="str">
            <v>A</v>
          </cell>
        </row>
        <row r="11">
          <cell r="C11">
            <v>10</v>
          </cell>
          <cell r="D11" t="str">
            <v>10：00</v>
          </cell>
          <cell r="E11" t="str">
            <v>10：35</v>
          </cell>
          <cell r="F11" t="str">
            <v>B</v>
          </cell>
        </row>
        <row r="12">
          <cell r="C12">
            <v>11</v>
          </cell>
          <cell r="D12" t="str">
            <v>10：40</v>
          </cell>
          <cell r="E12" t="str">
            <v>11：15</v>
          </cell>
          <cell r="F12" t="str">
            <v>A</v>
          </cell>
        </row>
        <row r="13">
          <cell r="C13">
            <v>12</v>
          </cell>
          <cell r="D13" t="str">
            <v>10：40</v>
          </cell>
          <cell r="E13" t="str">
            <v>11：15</v>
          </cell>
          <cell r="F13" t="str">
            <v>B</v>
          </cell>
        </row>
        <row r="14">
          <cell r="C14">
            <v>13</v>
          </cell>
          <cell r="D14" t="str">
            <v>11：30</v>
          </cell>
          <cell r="E14" t="str">
            <v>12：05</v>
          </cell>
          <cell r="F14" t="str">
            <v>A</v>
          </cell>
        </row>
        <row r="15">
          <cell r="C15">
            <v>14</v>
          </cell>
          <cell r="D15" t="str">
            <v>11：30</v>
          </cell>
          <cell r="E15" t="str">
            <v>12：05</v>
          </cell>
          <cell r="F15" t="str">
            <v>B</v>
          </cell>
        </row>
        <row r="16">
          <cell r="C16">
            <v>15</v>
          </cell>
          <cell r="D16" t="str">
            <v>12：10</v>
          </cell>
          <cell r="E16" t="str">
            <v>12：45</v>
          </cell>
          <cell r="F16" t="str">
            <v>A</v>
          </cell>
        </row>
        <row r="17">
          <cell r="C17">
            <v>16</v>
          </cell>
          <cell r="D17" t="str">
            <v>12：10</v>
          </cell>
          <cell r="E17" t="str">
            <v>12：45</v>
          </cell>
          <cell r="F17" t="str">
            <v>B</v>
          </cell>
        </row>
        <row r="18">
          <cell r="C18">
            <v>17</v>
          </cell>
          <cell r="D18" t="str">
            <v>13:00</v>
          </cell>
          <cell r="E18" t="str">
            <v>13:35</v>
          </cell>
          <cell r="F18" t="str">
            <v>A</v>
          </cell>
        </row>
        <row r="19">
          <cell r="C19">
            <v>18</v>
          </cell>
          <cell r="D19" t="str">
            <v>13:00</v>
          </cell>
          <cell r="E19" t="str">
            <v>13:35</v>
          </cell>
          <cell r="F19" t="str">
            <v>B</v>
          </cell>
        </row>
        <row r="20">
          <cell r="C20">
            <v>19</v>
          </cell>
          <cell r="D20" t="str">
            <v>13:40</v>
          </cell>
          <cell r="E20" t="str">
            <v>14:15</v>
          </cell>
          <cell r="F20" t="str">
            <v>A</v>
          </cell>
        </row>
        <row r="21">
          <cell r="C21">
            <v>20</v>
          </cell>
          <cell r="D21" t="str">
            <v>13:40</v>
          </cell>
          <cell r="E21" t="str">
            <v>14:15</v>
          </cell>
          <cell r="F21" t="str">
            <v>B</v>
          </cell>
        </row>
        <row r="22">
          <cell r="C22">
            <v>21</v>
          </cell>
          <cell r="D22" t="str">
            <v>14：30</v>
          </cell>
          <cell r="E22" t="str">
            <v>15：05</v>
          </cell>
          <cell r="F22" t="str">
            <v>A</v>
          </cell>
        </row>
        <row r="23">
          <cell r="C23">
            <v>22</v>
          </cell>
          <cell r="D23" t="str">
            <v>14：30</v>
          </cell>
          <cell r="E23" t="str">
            <v>15：05</v>
          </cell>
          <cell r="F23" t="str">
            <v>B</v>
          </cell>
        </row>
        <row r="24">
          <cell r="C24">
            <v>23</v>
          </cell>
          <cell r="D24" t="str">
            <v>15：10</v>
          </cell>
          <cell r="E24" t="str">
            <v>15：45</v>
          </cell>
          <cell r="F24" t="str">
            <v>A</v>
          </cell>
        </row>
        <row r="25">
          <cell r="C25">
            <v>24</v>
          </cell>
          <cell r="D25" t="str">
            <v>15：10</v>
          </cell>
          <cell r="E25" t="str">
            <v>15：45</v>
          </cell>
          <cell r="F25" t="str">
            <v>B</v>
          </cell>
        </row>
        <row r="26">
          <cell r="C26">
            <v>25</v>
          </cell>
          <cell r="D26" t="str">
            <v>9：30</v>
          </cell>
          <cell r="E26" t="str">
            <v>10：05</v>
          </cell>
          <cell r="F26" t="str">
            <v>A</v>
          </cell>
        </row>
        <row r="27">
          <cell r="C27">
            <v>26</v>
          </cell>
          <cell r="D27" t="str">
            <v>9：30</v>
          </cell>
          <cell r="E27" t="str">
            <v>10：05</v>
          </cell>
          <cell r="F27" t="str">
            <v>B</v>
          </cell>
        </row>
        <row r="28">
          <cell r="C28">
            <v>27</v>
          </cell>
          <cell r="D28" t="str">
            <v>10:15</v>
          </cell>
          <cell r="E28" t="str">
            <v>10：50</v>
          </cell>
          <cell r="F28" t="str">
            <v>A</v>
          </cell>
        </row>
        <row r="29">
          <cell r="C29">
            <v>28</v>
          </cell>
          <cell r="D29" t="str">
            <v>10:15</v>
          </cell>
          <cell r="E29" t="str">
            <v>10：50</v>
          </cell>
          <cell r="F29" t="str">
            <v>B</v>
          </cell>
        </row>
        <row r="30">
          <cell r="C30">
            <v>29</v>
          </cell>
          <cell r="D30" t="str">
            <v>11：05</v>
          </cell>
          <cell r="E30" t="str">
            <v>11：40</v>
          </cell>
          <cell r="F30" t="str">
            <v>A</v>
          </cell>
        </row>
        <row r="31">
          <cell r="C31">
            <v>30</v>
          </cell>
          <cell r="D31" t="str">
            <v>11：05</v>
          </cell>
          <cell r="E31" t="str">
            <v>11：40</v>
          </cell>
          <cell r="F31" t="str">
            <v>B</v>
          </cell>
        </row>
        <row r="32">
          <cell r="C32">
            <v>31</v>
          </cell>
          <cell r="D32" t="str">
            <v>11：50</v>
          </cell>
          <cell r="E32" t="str">
            <v>12：25</v>
          </cell>
          <cell r="F32" t="str">
            <v>A</v>
          </cell>
        </row>
        <row r="33">
          <cell r="C33">
            <v>32</v>
          </cell>
          <cell r="D33" t="str">
            <v>11：50</v>
          </cell>
          <cell r="E33" t="str">
            <v>12：25</v>
          </cell>
          <cell r="F33" t="str">
            <v>B</v>
          </cell>
        </row>
        <row r="34">
          <cell r="C34">
            <v>33</v>
          </cell>
          <cell r="D34" t="str">
            <v>13：20</v>
          </cell>
          <cell r="E34" t="str">
            <v>13：55</v>
          </cell>
          <cell r="F34" t="str">
            <v>A</v>
          </cell>
        </row>
        <row r="35">
          <cell r="C35">
            <v>34</v>
          </cell>
          <cell r="D35" t="str">
            <v>13：20</v>
          </cell>
          <cell r="E35" t="str">
            <v>13：55</v>
          </cell>
        </row>
        <row r="36">
          <cell r="C36">
            <v>35</v>
          </cell>
          <cell r="D36" t="str">
            <v>14：05</v>
          </cell>
          <cell r="E36" t="str">
            <v>14：40</v>
          </cell>
        </row>
        <row r="37">
          <cell r="C37">
            <v>36</v>
          </cell>
          <cell r="D37" t="str">
            <v>14：05</v>
          </cell>
          <cell r="E37" t="str">
            <v>14：40</v>
          </cell>
        </row>
      </sheetData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参加チーム"/>
      <sheetName val="日程・対戦記録表"/>
      <sheetName val="男子A"/>
      <sheetName val="男子B"/>
      <sheetName val="女子a"/>
      <sheetName val="女子b"/>
      <sheetName val="組合せ表"/>
      <sheetName val="スターティングリスト"/>
      <sheetName val="公式試合記録"/>
      <sheetName val="チームリスト"/>
      <sheetName val="リスト"/>
      <sheetName val="使用方法"/>
      <sheetName val="記録用紙（白紙）"/>
    </sheetNames>
    <sheetDataSet>
      <sheetData sheetId="0"/>
      <sheetData sheetId="1"/>
      <sheetData sheetId="2">
        <row r="31">
          <cell r="AW31">
            <v>1</v>
          </cell>
          <cell r="AX31" t="str">
            <v/>
          </cell>
          <cell r="AY31" t="e">
            <v>#N/A</v>
          </cell>
        </row>
        <row r="32">
          <cell r="AW32">
            <v>2</v>
          </cell>
          <cell r="AX32" t="str">
            <v/>
          </cell>
          <cell r="AY32" t="e">
            <v>#N/A</v>
          </cell>
        </row>
        <row r="33">
          <cell r="AW33">
            <v>3</v>
          </cell>
          <cell r="AX33" t="str">
            <v/>
          </cell>
          <cell r="AY33" t="e">
            <v>#N/A</v>
          </cell>
        </row>
        <row r="34">
          <cell r="AW34">
            <v>4</v>
          </cell>
          <cell r="AX34" t="str">
            <v/>
          </cell>
          <cell r="AY34" t="e">
            <v>#N/A</v>
          </cell>
        </row>
      </sheetData>
      <sheetData sheetId="3">
        <row r="23">
          <cell r="AW23">
            <v>1</v>
          </cell>
          <cell r="AX23" t="str">
            <v/>
          </cell>
          <cell r="AY23" t="e">
            <v>#N/A</v>
          </cell>
        </row>
        <row r="24">
          <cell r="AW24">
            <v>2</v>
          </cell>
          <cell r="AX24" t="str">
            <v/>
          </cell>
          <cell r="AY24" t="e">
            <v>#N/A</v>
          </cell>
        </row>
        <row r="25">
          <cell r="AW25">
            <v>3</v>
          </cell>
          <cell r="AX25" t="str">
            <v/>
          </cell>
          <cell r="AY25" t="e">
            <v>#N/A</v>
          </cell>
        </row>
      </sheetData>
      <sheetData sheetId="4">
        <row r="23">
          <cell r="AW23">
            <v>1</v>
          </cell>
          <cell r="AX23" t="str">
            <v/>
          </cell>
          <cell r="AY23" t="e">
            <v>#N/A</v>
          </cell>
        </row>
        <row r="24">
          <cell r="AW24">
            <v>2</v>
          </cell>
          <cell r="AX24" t="str">
            <v/>
          </cell>
          <cell r="AY24" t="e">
            <v>#N/A</v>
          </cell>
        </row>
        <row r="25">
          <cell r="AW25">
            <v>3</v>
          </cell>
          <cell r="AX25" t="str">
            <v/>
          </cell>
          <cell r="AY25" t="e">
            <v>#N/A</v>
          </cell>
        </row>
      </sheetData>
      <sheetData sheetId="5">
        <row r="31">
          <cell r="AW31">
            <v>1</v>
          </cell>
          <cell r="AX31" t="str">
            <v/>
          </cell>
          <cell r="AY31" t="e">
            <v>#N/A</v>
          </cell>
        </row>
        <row r="32">
          <cell r="AW32">
            <v>2</v>
          </cell>
          <cell r="AX32" t="str">
            <v/>
          </cell>
          <cell r="AY32" t="e">
            <v>#N/A</v>
          </cell>
        </row>
        <row r="33">
          <cell r="AW33">
            <v>3</v>
          </cell>
          <cell r="AX33" t="str">
            <v/>
          </cell>
          <cell r="AY33" t="e">
            <v>#N/A</v>
          </cell>
        </row>
        <row r="34">
          <cell r="AW34">
            <v>4</v>
          </cell>
          <cell r="AX34" t="str">
            <v/>
          </cell>
          <cell r="AY34" t="e">
            <v>#N/A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Q76"/>
  <sheetViews>
    <sheetView showGridLines="0" zoomScale="70" zoomScaleNormal="70" workbookViewId="0">
      <selection activeCell="AA23" sqref="AA23:AA24"/>
    </sheetView>
  </sheetViews>
  <sheetFormatPr defaultColWidth="2.25" defaultRowHeight="17.25" x14ac:dyDescent="0.2"/>
  <cols>
    <col min="1" max="1" width="13.5" style="1" customWidth="1"/>
    <col min="2" max="8" width="3" style="3" customWidth="1"/>
    <col min="9" max="9" width="11.5" style="4" customWidth="1"/>
    <col min="10" max="10" width="3.625" style="5" hidden="1" customWidth="1"/>
    <col min="11" max="15" width="3.625" style="1" customWidth="1"/>
    <col min="16" max="19" width="4.125" style="1" customWidth="1"/>
    <col min="20" max="20" width="3.625" style="2" hidden="1" customWidth="1"/>
    <col min="21" max="25" width="3.625" style="1" customWidth="1"/>
    <col min="26" max="26" width="11.375" style="4" customWidth="1"/>
    <col min="27" max="27" width="4.125" style="3" hidden="1" customWidth="1"/>
    <col min="28" max="32" width="3.625" style="1" customWidth="1"/>
    <col min="33" max="36" width="4.125" style="1" customWidth="1"/>
    <col min="37" max="37" width="3.625" style="2" hidden="1" customWidth="1"/>
    <col min="38" max="42" width="3.625" style="1" customWidth="1"/>
    <col min="43" max="51" width="2.25" style="1"/>
    <col min="52" max="52" width="2.25" style="1" customWidth="1"/>
    <col min="53" max="16384" width="2.25" style="1"/>
  </cols>
  <sheetData>
    <row r="1" spans="1:42" ht="24" customHeight="1" x14ac:dyDescent="0.15">
      <c r="A1" s="367" t="str">
        <f>[1]参加チーム!B1</f>
        <v>第２５回中国中学生ホッケー選手権大会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7"/>
      <c r="AG1" s="367"/>
      <c r="AH1" s="367"/>
      <c r="AI1" s="367"/>
      <c r="AJ1" s="367"/>
      <c r="AK1" s="367"/>
      <c r="AL1" s="367"/>
      <c r="AM1" s="367"/>
      <c r="AN1" s="367"/>
      <c r="AO1" s="367"/>
      <c r="AP1" s="367"/>
    </row>
    <row r="2" spans="1:42" ht="28.5" customHeight="1" x14ac:dyDescent="0.2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368" t="s">
        <v>42</v>
      </c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119"/>
      <c r="AB2" s="119"/>
      <c r="AC2" s="119"/>
      <c r="AD2" s="119"/>
      <c r="AE2" s="119"/>
      <c r="AF2" s="119"/>
      <c r="AG2" s="119"/>
      <c r="AH2" s="369" t="str">
        <f>[1]参加チーム!J3</f>
        <v>三成公園ホッケー場</v>
      </c>
      <c r="AI2" s="369"/>
      <c r="AJ2" s="369"/>
      <c r="AK2" s="369"/>
      <c r="AL2" s="369"/>
      <c r="AM2" s="369"/>
      <c r="AN2" s="369"/>
      <c r="AO2" s="369"/>
      <c r="AP2" s="369"/>
    </row>
    <row r="3" spans="1:42" ht="20.25" customHeight="1" x14ac:dyDescent="0.2">
      <c r="A3" s="74" t="s">
        <v>41</v>
      </c>
      <c r="B3" s="74"/>
      <c r="C3" s="118"/>
      <c r="D3" s="118"/>
      <c r="E3" s="118"/>
      <c r="F3" s="118"/>
      <c r="G3" s="118"/>
      <c r="H3" s="118"/>
      <c r="I3" s="76"/>
      <c r="J3" s="76"/>
      <c r="K3" s="76"/>
      <c r="L3" s="76"/>
      <c r="M3" s="76"/>
      <c r="N3" s="76"/>
      <c r="O3" s="76"/>
      <c r="P3" s="76"/>
      <c r="Q3" s="74"/>
      <c r="R3" s="74"/>
      <c r="S3" s="74"/>
      <c r="T3" s="75"/>
      <c r="U3" s="74"/>
      <c r="V3" s="74"/>
      <c r="W3" s="74"/>
      <c r="X3" s="74"/>
      <c r="Y3" s="74"/>
      <c r="Z3" s="74"/>
      <c r="AA3" s="75"/>
      <c r="AB3" s="74"/>
      <c r="AC3" s="74"/>
      <c r="AD3" s="74"/>
      <c r="AE3" s="74"/>
      <c r="AF3" s="74"/>
      <c r="AG3" s="74"/>
      <c r="AH3" s="74"/>
      <c r="AI3" s="74"/>
      <c r="AJ3" s="74"/>
      <c r="AK3" s="75"/>
      <c r="AL3" s="74"/>
      <c r="AM3" s="74"/>
      <c r="AN3" s="74"/>
      <c r="AO3" s="74"/>
      <c r="AP3" s="74"/>
    </row>
    <row r="4" spans="1:42" ht="20.25" customHeight="1" x14ac:dyDescent="0.15">
      <c r="A4" s="370" t="s">
        <v>40</v>
      </c>
      <c r="B4" s="372" t="s">
        <v>39</v>
      </c>
      <c r="C4" s="373"/>
      <c r="D4" s="373"/>
      <c r="E4" s="373"/>
      <c r="F4" s="373"/>
      <c r="G4" s="373"/>
      <c r="H4" s="373"/>
      <c r="I4" s="117" t="s">
        <v>38</v>
      </c>
      <c r="J4" s="42"/>
      <c r="K4" s="376" t="s">
        <v>79</v>
      </c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8"/>
      <c r="Z4" s="117" t="s">
        <v>38</v>
      </c>
      <c r="AA4" s="39"/>
      <c r="AB4" s="376" t="s">
        <v>80</v>
      </c>
      <c r="AC4" s="377"/>
      <c r="AD4" s="377"/>
      <c r="AE4" s="377"/>
      <c r="AF4" s="377"/>
      <c r="AG4" s="377"/>
      <c r="AH4" s="377"/>
      <c r="AI4" s="377"/>
      <c r="AJ4" s="377"/>
      <c r="AK4" s="377"/>
      <c r="AL4" s="377"/>
      <c r="AM4" s="377"/>
      <c r="AN4" s="377"/>
      <c r="AO4" s="377"/>
      <c r="AP4" s="378"/>
    </row>
    <row r="5" spans="1:42" s="99" customFormat="1" ht="20.25" customHeight="1" x14ac:dyDescent="0.15">
      <c r="A5" s="371"/>
      <c r="B5" s="374"/>
      <c r="C5" s="375"/>
      <c r="D5" s="375"/>
      <c r="E5" s="375"/>
      <c r="F5" s="375"/>
      <c r="G5" s="375"/>
      <c r="H5" s="375"/>
      <c r="I5" s="116" t="s">
        <v>37</v>
      </c>
      <c r="J5" s="32"/>
      <c r="K5" s="379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1"/>
      <c r="Z5" s="116" t="s">
        <v>37</v>
      </c>
      <c r="AA5" s="27"/>
      <c r="AB5" s="379"/>
      <c r="AC5" s="380"/>
      <c r="AD5" s="380"/>
      <c r="AE5" s="380"/>
      <c r="AF5" s="380"/>
      <c r="AG5" s="380"/>
      <c r="AH5" s="380"/>
      <c r="AI5" s="380"/>
      <c r="AJ5" s="380"/>
      <c r="AK5" s="380"/>
      <c r="AL5" s="380"/>
      <c r="AM5" s="380"/>
      <c r="AN5" s="380"/>
      <c r="AO5" s="380"/>
      <c r="AP5" s="381"/>
    </row>
    <row r="6" spans="1:42" s="99" customFormat="1" ht="20.25" customHeight="1" x14ac:dyDescent="0.15">
      <c r="A6" s="115"/>
      <c r="B6" s="353" t="s">
        <v>30</v>
      </c>
      <c r="C6" s="354" t="s">
        <v>30</v>
      </c>
      <c r="D6" s="354"/>
      <c r="E6" s="354"/>
      <c r="F6" s="354"/>
      <c r="G6" s="354"/>
      <c r="H6" s="354"/>
      <c r="I6" s="114" t="s">
        <v>33</v>
      </c>
      <c r="J6" s="88"/>
      <c r="K6" s="85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84"/>
      <c r="Z6" s="113" t="s">
        <v>33</v>
      </c>
      <c r="AA6" s="86"/>
      <c r="AB6" s="85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84"/>
    </row>
    <row r="7" spans="1:42" ht="20.25" customHeight="1" x14ac:dyDescent="0.15">
      <c r="A7" s="112"/>
      <c r="B7" s="355" t="str">
        <f>VLOOKUP($I7,[1]リスト!$C$2:$E$37,2,FALSE)</f>
        <v>14：00</v>
      </c>
      <c r="C7" s="356"/>
      <c r="D7" s="356"/>
      <c r="E7" s="359" t="s">
        <v>7</v>
      </c>
      <c r="F7" s="356" t="str">
        <f>VLOOKUP($I7,[1]リスト!$C$2:$E$37,3,FALSE)</f>
        <v>14：35</v>
      </c>
      <c r="G7" s="356"/>
      <c r="H7" s="356"/>
      <c r="I7" s="361">
        <v>1</v>
      </c>
      <c r="J7" s="83" t="str">
        <f>VLOOKUP(I7,[1]参加チーム!$J$21:$Q$38,4,FALSE)</f>
        <v>G3</v>
      </c>
      <c r="K7" s="363" t="str">
        <f>IF([1]参加チーム!$N$17=16,LEFT(VLOOKUP(I7,[1]参加チーム!$J$21:$Q$56,5,FALSE),3),"")</f>
        <v>横田中</v>
      </c>
      <c r="L7" s="364"/>
      <c r="M7" s="364"/>
      <c r="N7" s="364"/>
      <c r="O7" s="364"/>
      <c r="P7" s="382">
        <f>IF(AND(Q7="",Q8=""),"",SUM(Q7:Q8))</f>
        <v>20</v>
      </c>
      <c r="Q7" s="81">
        <v>9</v>
      </c>
      <c r="R7" s="81">
        <v>0</v>
      </c>
      <c r="S7" s="382">
        <f>IF(AND(R7="",R8=""),"",SUM(R7:R8))</f>
        <v>0</v>
      </c>
      <c r="T7" s="33" t="str">
        <f>VLOOKUP(I7,[1]参加チーム!$J$21:$Q$38,7,FALSE)</f>
        <v>G8</v>
      </c>
      <c r="U7" s="364" t="str">
        <f>IF([1]参加チーム!$N$17=16,LEFT(VLOOKUP(I7,[1]参加チーム!$J$21:$Q$56,8,FALSE),3),"")</f>
        <v>高森み</v>
      </c>
      <c r="V7" s="364"/>
      <c r="W7" s="364"/>
      <c r="X7" s="364"/>
      <c r="Y7" s="384"/>
      <c r="Z7" s="361">
        <v>2</v>
      </c>
      <c r="AA7" s="82" t="str">
        <f>VLOOKUP(Z7,[1]参加チーム!$J$21:$Q$38,4,FALSE)</f>
        <v>G2</v>
      </c>
      <c r="AB7" s="363" t="str">
        <f>IF([1]参加チーム!$N$17=16,LEFT(VLOOKUP(Z7,[1]参加チーム!$J$21:$Q$61,5,FALSE),3),"")</f>
        <v>桜ヶ丘</v>
      </c>
      <c r="AC7" s="364"/>
      <c r="AD7" s="364"/>
      <c r="AE7" s="364"/>
      <c r="AF7" s="364"/>
      <c r="AG7" s="382">
        <f>IF(AND(AH7="",AH8=""),"",SUM(AH7:AH8))</f>
        <v>0</v>
      </c>
      <c r="AH7" s="81">
        <v>0</v>
      </c>
      <c r="AI7" s="81">
        <v>5</v>
      </c>
      <c r="AJ7" s="382">
        <f>IF(AND(AI7="",AI8=""),"",SUM(AI7:AI8))</f>
        <v>5</v>
      </c>
      <c r="AK7" s="33" t="str">
        <f>VLOOKUP(Z7,[1]参加チーム!$J$21:$Q$38,7,FALSE)</f>
        <v>G5</v>
      </c>
      <c r="AL7" s="364" t="str">
        <f>IF([1]参加チーム!$N$17=16,LEFT(VLOOKUP(Z7,[1]参加チーム!$J$21:$Q$56,8,FALSE),3),"")</f>
        <v>瀬戸中</v>
      </c>
      <c r="AM7" s="364"/>
      <c r="AN7" s="364"/>
      <c r="AO7" s="364"/>
      <c r="AP7" s="384"/>
    </row>
    <row r="8" spans="1:42" ht="20.25" customHeight="1" x14ac:dyDescent="0.15">
      <c r="A8" s="112"/>
      <c r="B8" s="357"/>
      <c r="C8" s="358"/>
      <c r="D8" s="358"/>
      <c r="E8" s="360"/>
      <c r="F8" s="358"/>
      <c r="G8" s="358"/>
      <c r="H8" s="358"/>
      <c r="I8" s="362"/>
      <c r="J8" s="79"/>
      <c r="K8" s="365"/>
      <c r="L8" s="366"/>
      <c r="M8" s="366"/>
      <c r="N8" s="366"/>
      <c r="O8" s="366"/>
      <c r="P8" s="383"/>
      <c r="Q8" s="77">
        <v>11</v>
      </c>
      <c r="R8" s="77">
        <v>0</v>
      </c>
      <c r="S8" s="383"/>
      <c r="T8" s="9"/>
      <c r="U8" s="366"/>
      <c r="V8" s="366"/>
      <c r="W8" s="366"/>
      <c r="X8" s="366"/>
      <c r="Y8" s="385"/>
      <c r="Z8" s="362"/>
      <c r="AA8" s="78"/>
      <c r="AB8" s="365"/>
      <c r="AC8" s="366"/>
      <c r="AD8" s="366"/>
      <c r="AE8" s="366"/>
      <c r="AF8" s="366"/>
      <c r="AG8" s="383"/>
      <c r="AH8" s="77">
        <v>0</v>
      </c>
      <c r="AI8" s="77">
        <v>0</v>
      </c>
      <c r="AJ8" s="383"/>
      <c r="AK8" s="9"/>
      <c r="AL8" s="366"/>
      <c r="AM8" s="366"/>
      <c r="AN8" s="366"/>
      <c r="AO8" s="366"/>
      <c r="AP8" s="385"/>
    </row>
    <row r="9" spans="1:42" s="3" customFormat="1" ht="20.25" customHeight="1" x14ac:dyDescent="0.15">
      <c r="A9" s="70">
        <f>[1]参加チーム!$J$5</f>
        <v>43672</v>
      </c>
      <c r="B9" s="353" t="s">
        <v>30</v>
      </c>
      <c r="C9" s="354" t="s">
        <v>30</v>
      </c>
      <c r="D9" s="354"/>
      <c r="E9" s="354"/>
      <c r="F9" s="354"/>
      <c r="G9" s="354"/>
      <c r="H9" s="354"/>
      <c r="I9" s="114" t="s">
        <v>32</v>
      </c>
      <c r="J9" s="88"/>
      <c r="K9" s="85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84"/>
      <c r="Z9" s="113" t="s">
        <v>32</v>
      </c>
      <c r="AA9" s="86"/>
      <c r="AB9" s="85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84"/>
    </row>
    <row r="10" spans="1:42" ht="20.25" customHeight="1" x14ac:dyDescent="0.15">
      <c r="A10" s="70" t="s">
        <v>36</v>
      </c>
      <c r="B10" s="355" t="str">
        <f>VLOOKUP($I10,[1]リスト!$C$2:$E$37,2,FALSE)</f>
        <v>14：40</v>
      </c>
      <c r="C10" s="356"/>
      <c r="D10" s="356"/>
      <c r="E10" s="359" t="s">
        <v>7</v>
      </c>
      <c r="F10" s="356" t="str">
        <f>VLOOKUP($I10,[1]リスト!$C$2:$E$37,3,FALSE)</f>
        <v>15：15</v>
      </c>
      <c r="G10" s="356"/>
      <c r="H10" s="356"/>
      <c r="I10" s="361">
        <v>3</v>
      </c>
      <c r="J10" s="83" t="str">
        <f>VLOOKUP(I10,[1]参加チーム!$J$21:$Q$38,4,FALSE)</f>
        <v>G1</v>
      </c>
      <c r="K10" s="363" t="str">
        <f>IF([1]参加チーム!$N$17=16,LEFT(VLOOKUP(I10,[1]参加チーム!$J$21:$Q$56,5,FALSE),3),"")</f>
        <v>八頭中</v>
      </c>
      <c r="L10" s="364"/>
      <c r="M10" s="364"/>
      <c r="N10" s="364"/>
      <c r="O10" s="364"/>
      <c r="P10" s="382">
        <f>IF(AND(Q10="",Q11=""),"",SUM(Q10:Q11))</f>
        <v>6</v>
      </c>
      <c r="Q10" s="81">
        <v>1</v>
      </c>
      <c r="R10" s="81">
        <v>0</v>
      </c>
      <c r="S10" s="382">
        <f>IF(AND(R10="",R11=""),"",SUM(R10:R11))</f>
        <v>0</v>
      </c>
      <c r="T10" s="33" t="str">
        <f>VLOOKUP(I10,[1]参加チーム!$J$21:$Q$38,7,FALSE)</f>
        <v>G4</v>
      </c>
      <c r="U10" s="364" t="str">
        <f>IF([1]参加チーム!$N$17=16,LEFT(VLOOKUP(I10,[1]参加チーム!$J$21:$Q$56,8,FALSE),3),"")</f>
        <v>仁多中</v>
      </c>
      <c r="V10" s="364"/>
      <c r="W10" s="364"/>
      <c r="X10" s="364"/>
      <c r="Y10" s="384"/>
      <c r="Z10" s="361">
        <v>4</v>
      </c>
      <c r="AA10" s="82" t="str">
        <f>VLOOKUP(Z10,[1]参加チーム!$J$21:$Q$38,4,FALSE)</f>
        <v>G6</v>
      </c>
      <c r="AB10" s="363" t="str">
        <f>IF([1]参加チーム!$N$17=16,LEFT(VLOOKUP(Z10,[1]参加チーム!$J$21:$Q$61,5,FALSE),3),"")</f>
        <v>磐梨中</v>
      </c>
      <c r="AC10" s="364"/>
      <c r="AD10" s="364"/>
      <c r="AE10" s="364"/>
      <c r="AF10" s="364"/>
      <c r="AG10" s="382">
        <f>IF(AND(AH10="",AH11=""),"",SUM(AH10:AH11))</f>
        <v>0</v>
      </c>
      <c r="AH10" s="81">
        <v>0</v>
      </c>
      <c r="AI10" s="81">
        <v>4</v>
      </c>
      <c r="AJ10" s="382">
        <f>IF(AND(AI10="",AI11=""),"",SUM(AI10:AI11))</f>
        <v>5</v>
      </c>
      <c r="AK10" s="33" t="str">
        <f>VLOOKUP(Z10,[1]参加チーム!$J$21:$Q$38,7,FALSE)</f>
        <v>G7</v>
      </c>
      <c r="AL10" s="364" t="str">
        <f>IF([1]参加チーム!$N$17=16,LEFT(VLOOKUP(Z10,[1]参加チーム!$J$21:$Q$56,8,FALSE),3),"")</f>
        <v>玖珂中</v>
      </c>
      <c r="AM10" s="364"/>
      <c r="AN10" s="364"/>
      <c r="AO10" s="364"/>
      <c r="AP10" s="384"/>
    </row>
    <row r="11" spans="1:42" ht="20.25" customHeight="1" x14ac:dyDescent="0.15">
      <c r="A11" s="112"/>
      <c r="B11" s="357"/>
      <c r="C11" s="358"/>
      <c r="D11" s="358"/>
      <c r="E11" s="360"/>
      <c r="F11" s="358"/>
      <c r="G11" s="358"/>
      <c r="H11" s="358"/>
      <c r="I11" s="362"/>
      <c r="J11" s="79"/>
      <c r="K11" s="365"/>
      <c r="L11" s="366"/>
      <c r="M11" s="366"/>
      <c r="N11" s="366"/>
      <c r="O11" s="366"/>
      <c r="P11" s="383"/>
      <c r="Q11" s="77">
        <v>5</v>
      </c>
      <c r="R11" s="77">
        <v>0</v>
      </c>
      <c r="S11" s="383"/>
      <c r="T11" s="9"/>
      <c r="U11" s="366"/>
      <c r="V11" s="366"/>
      <c r="W11" s="366"/>
      <c r="X11" s="366"/>
      <c r="Y11" s="385"/>
      <c r="Z11" s="362"/>
      <c r="AA11" s="78"/>
      <c r="AB11" s="365"/>
      <c r="AC11" s="366"/>
      <c r="AD11" s="366"/>
      <c r="AE11" s="366"/>
      <c r="AF11" s="366"/>
      <c r="AG11" s="383"/>
      <c r="AH11" s="77">
        <v>0</v>
      </c>
      <c r="AI11" s="77">
        <v>1</v>
      </c>
      <c r="AJ11" s="383"/>
      <c r="AK11" s="9"/>
      <c r="AL11" s="366"/>
      <c r="AM11" s="366"/>
      <c r="AN11" s="366"/>
      <c r="AO11" s="366"/>
      <c r="AP11" s="385"/>
    </row>
    <row r="12" spans="1:42" ht="20.25" customHeight="1" x14ac:dyDescent="0.15">
      <c r="A12" s="112"/>
      <c r="B12" s="353" t="s">
        <v>30</v>
      </c>
      <c r="C12" s="354" t="s">
        <v>30</v>
      </c>
      <c r="D12" s="354"/>
      <c r="E12" s="354"/>
      <c r="F12" s="354"/>
      <c r="G12" s="354"/>
      <c r="H12" s="354"/>
      <c r="I12" s="89" t="s">
        <v>31</v>
      </c>
      <c r="J12" s="88"/>
      <c r="K12" s="85"/>
      <c r="L12" s="38"/>
      <c r="M12" s="38"/>
      <c r="N12" s="38"/>
      <c r="O12" s="38"/>
      <c r="P12" s="41"/>
      <c r="Q12" s="38"/>
      <c r="R12" s="38"/>
      <c r="S12" s="38"/>
      <c r="T12" s="38"/>
      <c r="U12" s="38"/>
      <c r="V12" s="38"/>
      <c r="W12" s="38"/>
      <c r="X12" s="38"/>
      <c r="Y12" s="84"/>
      <c r="Z12" s="89" t="s">
        <v>31</v>
      </c>
      <c r="AA12" s="86"/>
      <c r="AB12" s="85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84"/>
    </row>
    <row r="13" spans="1:42" ht="20.25" customHeight="1" x14ac:dyDescent="0.15">
      <c r="A13" s="112"/>
      <c r="B13" s="355" t="str">
        <f>VLOOKUP($I13,[1]リスト!$C$2:$E$37,2,FALSE)</f>
        <v>15：30</v>
      </c>
      <c r="C13" s="356"/>
      <c r="D13" s="356"/>
      <c r="E13" s="359" t="s">
        <v>7</v>
      </c>
      <c r="F13" s="356" t="str">
        <f>VLOOKUP($I13,[1]リスト!$C$2:$E$37,3,FALSE)</f>
        <v>16：05</v>
      </c>
      <c r="G13" s="356"/>
      <c r="H13" s="356"/>
      <c r="I13" s="386">
        <v>5</v>
      </c>
      <c r="J13" s="83" t="str">
        <f>VLOOKUP(I13,[1]参加チーム!$J$21:$Q$38,4,FALSE)</f>
        <v>B3</v>
      </c>
      <c r="K13" s="363" t="str">
        <f>IF([1]参加チーム!$N$17=16,LEFT(VLOOKUP(I13,[1]参加チーム!$J$21:$Q$56,5,FALSE),3),"")</f>
        <v>仁多中</v>
      </c>
      <c r="L13" s="364"/>
      <c r="M13" s="364"/>
      <c r="N13" s="364"/>
      <c r="O13" s="364"/>
      <c r="P13" s="388">
        <f>IF(AND(Q13="",Q14=""),"",SUM(Q13:Q14))</f>
        <v>10</v>
      </c>
      <c r="Q13" s="81">
        <v>3</v>
      </c>
      <c r="R13" s="81">
        <v>0</v>
      </c>
      <c r="S13" s="388">
        <f>IF(AND(R13="",R14=""),"",SUM(R13:R14))</f>
        <v>0</v>
      </c>
      <c r="T13" s="35" t="str">
        <f>VLOOKUP(I13,[1]参加チーム!$J$21:$Q$38,7,FALSE)</f>
        <v>B2</v>
      </c>
      <c r="U13" s="364" t="str">
        <f>IF([1]参加チーム!$N$17=16,LEFT(VLOOKUP(I13,[1]参加チーム!$J$21:$Q$56,8,FALSE),3),"")</f>
        <v>桜ヶ丘</v>
      </c>
      <c r="V13" s="364"/>
      <c r="W13" s="364"/>
      <c r="X13" s="364"/>
      <c r="Y13" s="384"/>
      <c r="Z13" s="386">
        <v>6</v>
      </c>
      <c r="AA13" s="82" t="str">
        <f>VLOOKUP(Z13,[1]参加チーム!$J$21:$Q$38,4,FALSE)</f>
        <v>B7</v>
      </c>
      <c r="AB13" s="363" t="str">
        <f>IF([1]参加チーム!$N$17=16,LEFT(VLOOKUP(Z13,[1]参加チーム!$J$21:$Q$56,5,FALSE),3),"")</f>
        <v>玖珂中</v>
      </c>
      <c r="AC13" s="364"/>
      <c r="AD13" s="364"/>
      <c r="AE13" s="364"/>
      <c r="AF13" s="364"/>
      <c r="AG13" s="388">
        <f>IF(AND(AH13="",AH14=""),"",SUM(AH13:AH14))</f>
        <v>10</v>
      </c>
      <c r="AH13" s="81">
        <v>3</v>
      </c>
      <c r="AI13" s="81">
        <v>0</v>
      </c>
      <c r="AJ13" s="388">
        <f>IF(AND(AI13="",AI14=""),"",SUM(AI13:AI14))</f>
        <v>0</v>
      </c>
      <c r="AK13" s="33" t="str">
        <f>VLOOKUP(Z13,[1]参加チーム!$J$21:$Q$38,7,FALSE)</f>
        <v>B6</v>
      </c>
      <c r="AL13" s="364" t="str">
        <f>IF([1]参加チーム!$N$17=16,LEFT(VLOOKUP(Z13,[1]参加チーム!$J$21:$Q$56,8,FALSE),3),"")</f>
        <v>瀬戸中</v>
      </c>
      <c r="AM13" s="364"/>
      <c r="AN13" s="364"/>
      <c r="AO13" s="364"/>
      <c r="AP13" s="384"/>
    </row>
    <row r="14" spans="1:42" ht="20.25" customHeight="1" x14ac:dyDescent="0.15">
      <c r="A14" s="112"/>
      <c r="B14" s="357"/>
      <c r="C14" s="358"/>
      <c r="D14" s="358"/>
      <c r="E14" s="360"/>
      <c r="F14" s="358"/>
      <c r="G14" s="358"/>
      <c r="H14" s="358"/>
      <c r="I14" s="387"/>
      <c r="J14" s="93"/>
      <c r="K14" s="365"/>
      <c r="L14" s="366"/>
      <c r="M14" s="366"/>
      <c r="N14" s="366"/>
      <c r="O14" s="366"/>
      <c r="P14" s="388"/>
      <c r="Q14" s="77">
        <v>7</v>
      </c>
      <c r="R14" s="77">
        <v>0</v>
      </c>
      <c r="S14" s="388"/>
      <c r="T14" s="30"/>
      <c r="U14" s="366"/>
      <c r="V14" s="366"/>
      <c r="W14" s="366"/>
      <c r="X14" s="366"/>
      <c r="Y14" s="385"/>
      <c r="Z14" s="387"/>
      <c r="AA14" s="91"/>
      <c r="AB14" s="365"/>
      <c r="AC14" s="366"/>
      <c r="AD14" s="366"/>
      <c r="AE14" s="366"/>
      <c r="AF14" s="366"/>
      <c r="AG14" s="389"/>
      <c r="AH14" s="77">
        <v>7</v>
      </c>
      <c r="AI14" s="77">
        <v>0</v>
      </c>
      <c r="AJ14" s="388"/>
      <c r="AK14" s="30"/>
      <c r="AL14" s="366"/>
      <c r="AM14" s="366"/>
      <c r="AN14" s="366"/>
      <c r="AO14" s="366"/>
      <c r="AP14" s="385"/>
    </row>
    <row r="15" spans="1:42" s="3" customFormat="1" ht="20.25" customHeight="1" x14ac:dyDescent="0.15">
      <c r="A15" s="112"/>
      <c r="B15" s="353" t="s">
        <v>30</v>
      </c>
      <c r="C15" s="354" t="s">
        <v>30</v>
      </c>
      <c r="D15" s="354"/>
      <c r="E15" s="354"/>
      <c r="F15" s="354"/>
      <c r="G15" s="354"/>
      <c r="H15" s="354"/>
      <c r="I15" s="89" t="s">
        <v>29</v>
      </c>
      <c r="J15" s="88"/>
      <c r="K15" s="85"/>
      <c r="L15" s="38"/>
      <c r="M15" s="38"/>
      <c r="N15" s="38"/>
      <c r="O15" s="38"/>
      <c r="P15" s="41"/>
      <c r="Q15" s="38"/>
      <c r="R15" s="38"/>
      <c r="S15" s="38"/>
      <c r="T15" s="38"/>
      <c r="U15" s="38"/>
      <c r="V15" s="38"/>
      <c r="W15" s="38"/>
      <c r="X15" s="38"/>
      <c r="Y15" s="84"/>
      <c r="Z15" s="89" t="s">
        <v>29</v>
      </c>
      <c r="AA15" s="86"/>
      <c r="AB15" s="85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84"/>
    </row>
    <row r="16" spans="1:42" ht="20.25" customHeight="1" x14ac:dyDescent="0.15">
      <c r="A16" s="112"/>
      <c r="B16" s="355" t="str">
        <f>VLOOKUP($I16,[1]リスト!$C$2:$E$37,2,FALSE)</f>
        <v>16：10</v>
      </c>
      <c r="C16" s="356"/>
      <c r="D16" s="356"/>
      <c r="E16" s="359" t="s">
        <v>7</v>
      </c>
      <c r="F16" s="356" t="str">
        <f>VLOOKUP($I16,[1]リスト!$C$2:$E$37,3,FALSE)</f>
        <v>16：45</v>
      </c>
      <c r="G16" s="356"/>
      <c r="H16" s="356"/>
      <c r="I16" s="386">
        <v>7</v>
      </c>
      <c r="J16" s="83" t="str">
        <f>VLOOKUP(I16,[1]参加チーム!$J$21:$Q$38,4,FALSE)</f>
        <v>B1</v>
      </c>
      <c r="K16" s="363" t="str">
        <f>IF([1]参加チーム!$N$17=16,LEFT(VLOOKUP(I16,[1]参加チーム!$J$21:$Q$56,5,FALSE),3),"")</f>
        <v>八頭中</v>
      </c>
      <c r="L16" s="364"/>
      <c r="M16" s="364"/>
      <c r="N16" s="364"/>
      <c r="O16" s="364"/>
      <c r="P16" s="388">
        <f>IF(AND(Q16="",Q17=""),"",SUM(Q16:Q17))</f>
        <v>6</v>
      </c>
      <c r="Q16" s="81">
        <v>3</v>
      </c>
      <c r="R16" s="81">
        <v>1</v>
      </c>
      <c r="S16" s="388">
        <f>IF(AND(R16="",R17=""),"",SUM(R16:R17))</f>
        <v>2</v>
      </c>
      <c r="T16" s="35" t="str">
        <f>VLOOKUP(I16,[1]参加チーム!$J$21:$Q$38,7,FALSE)</f>
        <v>B5</v>
      </c>
      <c r="U16" s="364" t="str">
        <f>IF([1]参加チーム!$N$17=16,LEFT(VLOOKUP(I16,[1]参加チーム!$J$21:$Q$56,8,FALSE),3),"")</f>
        <v>磐梨中</v>
      </c>
      <c r="V16" s="364"/>
      <c r="W16" s="364"/>
      <c r="X16" s="364"/>
      <c r="Y16" s="384"/>
      <c r="Z16" s="386">
        <v>8</v>
      </c>
      <c r="AA16" s="82" t="str">
        <f>VLOOKUP(Z16,[1]参加チーム!$J$21:$Q$38,4,FALSE)</f>
        <v>B4</v>
      </c>
      <c r="AB16" s="363" t="str">
        <f>IF([1]参加チーム!$N$17=16,LEFT(VLOOKUP(Z16,[1]参加チーム!$J$21:$Q$56,5,FALSE),3),"")</f>
        <v>横田中</v>
      </c>
      <c r="AC16" s="364"/>
      <c r="AD16" s="364"/>
      <c r="AE16" s="364"/>
      <c r="AF16" s="364"/>
      <c r="AG16" s="388">
        <f>IF(AND(AH16="",AH17=""),"",SUM(AH16:AH17))</f>
        <v>20</v>
      </c>
      <c r="AH16" s="81">
        <v>8</v>
      </c>
      <c r="AI16" s="81">
        <v>0</v>
      </c>
      <c r="AJ16" s="388">
        <f>IF(AND(AI16="",AI17=""),"",SUM(AI16:AI17))</f>
        <v>0</v>
      </c>
      <c r="AK16" s="33" t="str">
        <f>VLOOKUP(Z16,[1]参加チーム!$J$21:$Q$38,7,FALSE)</f>
        <v>B8</v>
      </c>
      <c r="AL16" s="364" t="str">
        <f>IF([1]参加チーム!$N$17=16,LEFT(VLOOKUP(Z16,[1]参加チーム!$J$21:$Q$56,8,FALSE),3),"")</f>
        <v>高森み</v>
      </c>
      <c r="AM16" s="364"/>
      <c r="AN16" s="364"/>
      <c r="AO16" s="364"/>
      <c r="AP16" s="384"/>
    </row>
    <row r="17" spans="1:43" ht="20.25" customHeight="1" x14ac:dyDescent="0.15">
      <c r="A17" s="111"/>
      <c r="B17" s="357"/>
      <c r="C17" s="358"/>
      <c r="D17" s="358"/>
      <c r="E17" s="360"/>
      <c r="F17" s="358"/>
      <c r="G17" s="358"/>
      <c r="H17" s="358"/>
      <c r="I17" s="387"/>
      <c r="J17" s="93"/>
      <c r="K17" s="365"/>
      <c r="L17" s="366"/>
      <c r="M17" s="366"/>
      <c r="N17" s="366"/>
      <c r="O17" s="366"/>
      <c r="P17" s="389"/>
      <c r="Q17" s="77">
        <v>3</v>
      </c>
      <c r="R17" s="77">
        <v>1</v>
      </c>
      <c r="S17" s="389"/>
      <c r="T17" s="9"/>
      <c r="U17" s="366"/>
      <c r="V17" s="366"/>
      <c r="W17" s="366"/>
      <c r="X17" s="366"/>
      <c r="Y17" s="385"/>
      <c r="Z17" s="387"/>
      <c r="AA17" s="78"/>
      <c r="AB17" s="365"/>
      <c r="AC17" s="366"/>
      <c r="AD17" s="366"/>
      <c r="AE17" s="366"/>
      <c r="AF17" s="366"/>
      <c r="AG17" s="389"/>
      <c r="AH17" s="77">
        <v>12</v>
      </c>
      <c r="AI17" s="77">
        <v>0</v>
      </c>
      <c r="AJ17" s="389"/>
      <c r="AK17" s="9"/>
      <c r="AL17" s="366"/>
      <c r="AM17" s="366"/>
      <c r="AN17" s="366"/>
      <c r="AO17" s="366"/>
      <c r="AP17" s="385"/>
    </row>
    <row r="18" spans="1:43" ht="33" customHeight="1" x14ac:dyDescent="0.2">
      <c r="A18" s="74" t="s">
        <v>35</v>
      </c>
      <c r="B18" s="74"/>
      <c r="C18" s="110"/>
      <c r="D18" s="109"/>
      <c r="E18" s="109"/>
      <c r="F18" s="109"/>
      <c r="G18" s="109"/>
      <c r="H18" s="109"/>
      <c r="I18" s="390"/>
      <c r="J18" s="390"/>
      <c r="K18" s="390"/>
      <c r="L18" s="390"/>
      <c r="M18" s="390"/>
      <c r="N18" s="390"/>
      <c r="O18" s="390"/>
      <c r="P18" s="390"/>
      <c r="Q18" s="74"/>
      <c r="R18" s="74"/>
      <c r="S18" s="74"/>
      <c r="T18" s="75"/>
      <c r="U18" s="74"/>
      <c r="V18" s="74"/>
      <c r="W18" s="74"/>
      <c r="X18" s="74"/>
      <c r="Y18" s="74"/>
      <c r="Z18" s="75"/>
      <c r="AA18" s="75"/>
      <c r="AB18" s="74"/>
      <c r="AC18" s="74"/>
      <c r="AD18" s="74"/>
      <c r="AE18" s="74"/>
      <c r="AF18" s="74"/>
      <c r="AG18" s="74"/>
      <c r="AH18" s="74"/>
      <c r="AI18" s="74"/>
      <c r="AJ18" s="74"/>
      <c r="AK18" s="75"/>
      <c r="AL18" s="74"/>
      <c r="AM18" s="74"/>
      <c r="AN18" s="74"/>
      <c r="AO18" s="74"/>
      <c r="AP18" s="74"/>
    </row>
    <row r="19" spans="1:43" s="3" customFormat="1" ht="20.25" customHeight="1" x14ac:dyDescent="0.15">
      <c r="A19" s="43"/>
      <c r="B19" s="391" t="s">
        <v>30</v>
      </c>
      <c r="C19" s="392" t="s">
        <v>30</v>
      </c>
      <c r="D19" s="392"/>
      <c r="E19" s="392"/>
      <c r="F19" s="392"/>
      <c r="G19" s="392"/>
      <c r="H19" s="392"/>
      <c r="I19" s="51" t="s">
        <v>33</v>
      </c>
      <c r="J19" s="42"/>
      <c r="K19" s="85"/>
      <c r="L19" s="38"/>
      <c r="M19" s="38"/>
      <c r="N19" s="38"/>
      <c r="O19" s="38"/>
      <c r="P19" s="41"/>
      <c r="Q19" s="38"/>
      <c r="R19" s="38"/>
      <c r="S19" s="38"/>
      <c r="T19" s="38"/>
      <c r="U19" s="38"/>
      <c r="V19" s="38"/>
      <c r="W19" s="38"/>
      <c r="X19" s="38"/>
      <c r="Y19" s="84"/>
      <c r="Z19" s="96" t="s">
        <v>33</v>
      </c>
      <c r="AA19" s="108"/>
      <c r="AB19" s="85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84"/>
    </row>
    <row r="20" spans="1:43" ht="20.25" customHeight="1" x14ac:dyDescent="0.15">
      <c r="A20" s="36">
        <f>[1]参加チーム!$J$5</f>
        <v>43672</v>
      </c>
      <c r="B20" s="355" t="str">
        <f>VLOOKUP($I20,[1]リスト!$C$2:$E$37,2,FALSE)</f>
        <v>10：00</v>
      </c>
      <c r="C20" s="356"/>
      <c r="D20" s="356"/>
      <c r="E20" s="359" t="s">
        <v>81</v>
      </c>
      <c r="F20" s="356" t="str">
        <f>VLOOKUP($I20,[1]リスト!$C$2:$E$37,3,FALSE)</f>
        <v>10：35</v>
      </c>
      <c r="G20" s="356"/>
      <c r="H20" s="356"/>
      <c r="I20" s="393">
        <v>9</v>
      </c>
      <c r="J20" s="35" t="str">
        <f>VLOOKUP(I20,[1]参加チーム!$J$21:$Q$38,4,FALSE)</f>
        <v>G8</v>
      </c>
      <c r="K20" s="363" t="str">
        <f>IF([1]参加チーム!$N$17=16,LEFT(VLOOKUP(I20,[1]参加チーム!$J$21:$Q$56,5,FALSE),3),"")</f>
        <v>高森み</v>
      </c>
      <c r="L20" s="364"/>
      <c r="M20" s="364"/>
      <c r="N20" s="364"/>
      <c r="O20" s="364"/>
      <c r="P20" s="388">
        <f>IF(AND(Q20="",Q21=""),"",SUM(Q20:Q21))</f>
        <v>0</v>
      </c>
      <c r="Q20" s="81">
        <v>0</v>
      </c>
      <c r="R20" s="81">
        <v>0</v>
      </c>
      <c r="S20" s="388">
        <f>IF(AND(R20="",R21=""),"",SUM(R20:R21))</f>
        <v>4</v>
      </c>
      <c r="T20" s="33" t="str">
        <f>VLOOKUP(I20,[1]参加チーム!$J$21:$Q$38,7,FALSE)</f>
        <v>G2</v>
      </c>
      <c r="U20" s="364" t="str">
        <f>IF([1]参加チーム!$N$17,LEFT(VLOOKUP(I20,[1]参加チーム!$J$21:$Q$56,8,FALSE),3),"")</f>
        <v>桜ヶ丘</v>
      </c>
      <c r="V20" s="364"/>
      <c r="W20" s="364"/>
      <c r="X20" s="364"/>
      <c r="Y20" s="384"/>
      <c r="Z20" s="395">
        <v>10</v>
      </c>
      <c r="AA20" s="82" t="str">
        <f>VLOOKUP(Z20,[1]参加チーム!$J$21:$Q$38,4,FALSE)</f>
        <v>G3</v>
      </c>
      <c r="AB20" s="363" t="str">
        <f>IF([1]参加チーム!$N$17=16,LEFT(VLOOKUP(Z20,[1]参加チーム!$J$21:$Q$56,5,FALSE),3),"")</f>
        <v>横田中</v>
      </c>
      <c r="AC20" s="364"/>
      <c r="AD20" s="364"/>
      <c r="AE20" s="364"/>
      <c r="AF20" s="364"/>
      <c r="AG20" s="382">
        <f>IF(AND(AH20="",AH21=""),"",SUM(AH20:AH21))</f>
        <v>7</v>
      </c>
      <c r="AH20" s="81">
        <v>2</v>
      </c>
      <c r="AI20" s="81">
        <v>1</v>
      </c>
      <c r="AJ20" s="382">
        <f>IF(AND(AI20="",AI21=""),"",SUM(AI20:AI21))</f>
        <v>1</v>
      </c>
      <c r="AK20" s="33" t="str">
        <f>VLOOKUP(Z20,[1]参加チーム!$J$21:$Q$38,7,FALSE)</f>
        <v>G5</v>
      </c>
      <c r="AL20" s="364" t="str">
        <f>IF([1]参加チーム!$N$17=16,LEFT(VLOOKUP(Z20,[1]参加チーム!$J$21:$Q$56,8,FALSE),3),"")</f>
        <v>瀬戸中</v>
      </c>
      <c r="AM20" s="364"/>
      <c r="AN20" s="364"/>
      <c r="AO20" s="364"/>
      <c r="AP20" s="384"/>
    </row>
    <row r="21" spans="1:43" ht="20.25" customHeight="1" x14ac:dyDescent="0.15">
      <c r="A21" s="106">
        <f>[1]参加チーム!$J$5</f>
        <v>43672</v>
      </c>
      <c r="B21" s="357"/>
      <c r="C21" s="358"/>
      <c r="D21" s="358"/>
      <c r="E21" s="360"/>
      <c r="F21" s="358"/>
      <c r="G21" s="358"/>
      <c r="H21" s="358"/>
      <c r="I21" s="394"/>
      <c r="J21" s="32"/>
      <c r="K21" s="365"/>
      <c r="L21" s="366"/>
      <c r="M21" s="366"/>
      <c r="N21" s="366"/>
      <c r="O21" s="366"/>
      <c r="P21" s="388"/>
      <c r="Q21" s="77">
        <v>0</v>
      </c>
      <c r="R21" s="77">
        <v>4</v>
      </c>
      <c r="S21" s="388"/>
      <c r="T21" s="30"/>
      <c r="U21" s="366"/>
      <c r="V21" s="366"/>
      <c r="W21" s="366"/>
      <c r="X21" s="366"/>
      <c r="Y21" s="385"/>
      <c r="Z21" s="396"/>
      <c r="AA21" s="91"/>
      <c r="AB21" s="365"/>
      <c r="AC21" s="366"/>
      <c r="AD21" s="366"/>
      <c r="AE21" s="366"/>
      <c r="AF21" s="366"/>
      <c r="AG21" s="383"/>
      <c r="AH21" s="77">
        <v>5</v>
      </c>
      <c r="AI21" s="77">
        <v>0</v>
      </c>
      <c r="AJ21" s="383"/>
      <c r="AK21" s="9"/>
      <c r="AL21" s="366"/>
      <c r="AM21" s="366"/>
      <c r="AN21" s="366"/>
      <c r="AO21" s="366"/>
      <c r="AP21" s="385"/>
    </row>
    <row r="22" spans="1:43" s="99" customFormat="1" ht="20.25" customHeight="1" x14ac:dyDescent="0.15">
      <c r="A22" s="107">
        <f>A21</f>
        <v>43672</v>
      </c>
      <c r="B22" s="353" t="s">
        <v>30</v>
      </c>
      <c r="C22" s="354" t="s">
        <v>30</v>
      </c>
      <c r="D22" s="354"/>
      <c r="E22" s="354"/>
      <c r="F22" s="354"/>
      <c r="G22" s="354"/>
      <c r="H22" s="354"/>
      <c r="I22" s="51" t="s">
        <v>32</v>
      </c>
      <c r="J22" s="42"/>
      <c r="K22" s="85"/>
      <c r="L22" s="38"/>
      <c r="M22" s="38"/>
      <c r="N22" s="38"/>
      <c r="O22" s="38"/>
      <c r="P22" s="41"/>
      <c r="Q22" s="38"/>
      <c r="R22" s="38"/>
      <c r="S22" s="38"/>
      <c r="T22" s="38"/>
      <c r="U22" s="38"/>
      <c r="V22" s="38"/>
      <c r="W22" s="38"/>
      <c r="X22" s="38"/>
      <c r="Y22" s="84"/>
      <c r="Z22" s="96" t="s">
        <v>32</v>
      </c>
      <c r="AA22" s="86"/>
      <c r="AB22" s="85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84"/>
    </row>
    <row r="23" spans="1:43" ht="20.25" customHeight="1" x14ac:dyDescent="0.15">
      <c r="A23" s="106">
        <f>[1]参加チーム!$J$5</f>
        <v>43672</v>
      </c>
      <c r="B23" s="355" t="str">
        <f>VLOOKUP($I23,[1]リスト!$C$2:$E$37,2,FALSE)</f>
        <v>10：40</v>
      </c>
      <c r="C23" s="356"/>
      <c r="D23" s="356"/>
      <c r="E23" s="359" t="s">
        <v>82</v>
      </c>
      <c r="F23" s="356" t="str">
        <f>VLOOKUP($I23,[1]リスト!$C$2:$E$37,3,FALSE)</f>
        <v>11：15</v>
      </c>
      <c r="G23" s="356"/>
      <c r="H23" s="356"/>
      <c r="I23" s="393">
        <v>11</v>
      </c>
      <c r="J23" s="35" t="str">
        <f>VLOOKUP(I23,[1]参加チーム!$J$21:$Q$38,4,FALSE)</f>
        <v>G4</v>
      </c>
      <c r="K23" s="363" t="str">
        <f>IF([1]参加チーム!$N$17=16,LEFT(VLOOKUP(I23,[1]参加チーム!$J$21:$Q$56,5,FALSE),3),"")</f>
        <v>仁多中</v>
      </c>
      <c r="L23" s="364"/>
      <c r="M23" s="364"/>
      <c r="N23" s="364"/>
      <c r="O23" s="364"/>
      <c r="P23" s="388">
        <f>IF(AND(Q23="",Q24=""),"",SUM(Q23:Q24))</f>
        <v>0</v>
      </c>
      <c r="Q23" s="81">
        <v>0</v>
      </c>
      <c r="R23" s="81">
        <v>2</v>
      </c>
      <c r="S23" s="388">
        <f>IF(AND(R23="",R24=""),"",SUM(R23:R24))</f>
        <v>4</v>
      </c>
      <c r="T23" s="35" t="str">
        <f>VLOOKUP(I23,[1]参加チーム!$J$21:$Q$38,7,FALSE)</f>
        <v>G6</v>
      </c>
      <c r="U23" s="364" t="str">
        <f>IF([1]参加チーム!$N$17,LEFT(VLOOKUP(I23,[1]参加チーム!$J$21:$Q$56,8,FALSE),3),"")</f>
        <v>磐梨中</v>
      </c>
      <c r="V23" s="364"/>
      <c r="W23" s="364"/>
      <c r="X23" s="364"/>
      <c r="Y23" s="384"/>
      <c r="Z23" s="395">
        <v>12</v>
      </c>
      <c r="AA23" s="82" t="str">
        <f>VLOOKUP(Z23,[1]参加チーム!$J$21:$Q$38,4,FALSE)</f>
        <v>G1</v>
      </c>
      <c r="AB23" s="363" t="str">
        <f>IF([1]参加チーム!$N$17=16,LEFT(VLOOKUP(Z23,[1]参加チーム!$J$21:$Q$56,5,FALSE),3),"")</f>
        <v>八頭中</v>
      </c>
      <c r="AC23" s="364"/>
      <c r="AD23" s="364"/>
      <c r="AE23" s="364"/>
      <c r="AF23" s="364"/>
      <c r="AG23" s="388">
        <f>IF(AND(AH23="",AH24=""),"",SUM(AH23:AH24))</f>
        <v>2</v>
      </c>
      <c r="AH23" s="81">
        <v>2</v>
      </c>
      <c r="AI23" s="81">
        <v>3</v>
      </c>
      <c r="AJ23" s="388">
        <f>IF(AND(AI23="",AI24=""),"",SUM(AI23:AI24))</f>
        <v>3</v>
      </c>
      <c r="AK23" s="33" t="str">
        <f>VLOOKUP(Z23,[1]参加チーム!$J$21:$Q$38,7,FALSE)</f>
        <v>G7</v>
      </c>
      <c r="AL23" s="364" t="str">
        <f>IF([1]参加チーム!$N$17=16,LEFT(VLOOKUP(Z23,[1]参加チーム!$J$21:$Q$56,8,FALSE),3),"")</f>
        <v>玖珂中</v>
      </c>
      <c r="AM23" s="364"/>
      <c r="AN23" s="364"/>
      <c r="AO23" s="364"/>
      <c r="AP23" s="384"/>
    </row>
    <row r="24" spans="1:43" ht="20.25" customHeight="1" x14ac:dyDescent="0.15">
      <c r="A24" s="105"/>
      <c r="B24" s="357"/>
      <c r="C24" s="358"/>
      <c r="D24" s="358"/>
      <c r="E24" s="360"/>
      <c r="F24" s="358"/>
      <c r="G24" s="358"/>
      <c r="H24" s="358"/>
      <c r="I24" s="394"/>
      <c r="J24" s="32"/>
      <c r="K24" s="365"/>
      <c r="L24" s="366"/>
      <c r="M24" s="366"/>
      <c r="N24" s="366"/>
      <c r="O24" s="366"/>
      <c r="P24" s="388"/>
      <c r="Q24" s="77">
        <v>0</v>
      </c>
      <c r="R24" s="77">
        <v>2</v>
      </c>
      <c r="S24" s="388"/>
      <c r="T24" s="30"/>
      <c r="U24" s="366"/>
      <c r="V24" s="366"/>
      <c r="W24" s="366"/>
      <c r="X24" s="366"/>
      <c r="Y24" s="385"/>
      <c r="Z24" s="396"/>
      <c r="AA24" s="91"/>
      <c r="AB24" s="365"/>
      <c r="AC24" s="366"/>
      <c r="AD24" s="366"/>
      <c r="AE24" s="366"/>
      <c r="AF24" s="366"/>
      <c r="AG24" s="389"/>
      <c r="AH24" s="77">
        <v>0</v>
      </c>
      <c r="AI24" s="77">
        <v>0</v>
      </c>
      <c r="AJ24" s="388"/>
      <c r="AK24" s="30"/>
      <c r="AL24" s="366"/>
      <c r="AM24" s="366"/>
      <c r="AN24" s="366"/>
      <c r="AO24" s="366"/>
      <c r="AP24" s="385"/>
    </row>
    <row r="25" spans="1:43" s="3" customFormat="1" ht="20.25" customHeight="1" x14ac:dyDescent="0.15">
      <c r="A25" s="104">
        <f>[1]参加チーム!$J$5</f>
        <v>43672</v>
      </c>
      <c r="B25" s="353" t="s">
        <v>30</v>
      </c>
      <c r="C25" s="354" t="s">
        <v>30</v>
      </c>
      <c r="D25" s="354"/>
      <c r="E25" s="354"/>
      <c r="F25" s="354"/>
      <c r="G25" s="354"/>
      <c r="H25" s="354"/>
      <c r="I25" s="40" t="s">
        <v>31</v>
      </c>
      <c r="J25" s="42"/>
      <c r="K25" s="85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84"/>
      <c r="Z25" s="87" t="s">
        <v>31</v>
      </c>
      <c r="AA25" s="86"/>
      <c r="AB25" s="85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84"/>
    </row>
    <row r="26" spans="1:43" ht="20.25" customHeight="1" x14ac:dyDescent="0.15">
      <c r="A26" s="70">
        <f>A9+1</f>
        <v>43673</v>
      </c>
      <c r="B26" s="355" t="str">
        <f>VLOOKUP($I26,[1]リスト!$C$2:$E$37,2,FALSE)</f>
        <v>11：30</v>
      </c>
      <c r="C26" s="356"/>
      <c r="D26" s="356"/>
      <c r="E26" s="359" t="s">
        <v>7</v>
      </c>
      <c r="F26" s="356" t="str">
        <f>VLOOKUP($I26,[1]リスト!$C$2:$E$37,3,FALSE)</f>
        <v>12：05</v>
      </c>
      <c r="G26" s="356"/>
      <c r="H26" s="356"/>
      <c r="I26" s="399">
        <v>13</v>
      </c>
      <c r="J26" s="35" t="str">
        <f>VLOOKUP(I26,[1]参加チーム!$J$21:$Q$38,4,FALSE)</f>
        <v>B2</v>
      </c>
      <c r="K26" s="363" t="str">
        <f>IF([1]参加チーム!$N$17=16,LEFT(VLOOKUP(I26,[1]参加チーム!$J$21:$Q$56,5,FALSE),3),"")</f>
        <v>桜ヶ丘</v>
      </c>
      <c r="L26" s="364"/>
      <c r="M26" s="364"/>
      <c r="N26" s="364"/>
      <c r="O26" s="364"/>
      <c r="P26" s="382">
        <f>IF(AND(Q26="",Q27=""),"",SUM(Q26:Q27))</f>
        <v>1</v>
      </c>
      <c r="Q26" s="81">
        <v>1</v>
      </c>
      <c r="R26" s="81">
        <v>5</v>
      </c>
      <c r="S26" s="382">
        <f>IF(AND(R26="",R27=""),"",SUM(R26:R27))</f>
        <v>10</v>
      </c>
      <c r="T26" s="33" t="str">
        <f>VLOOKUP(I26,[1]参加チーム!$J$21:$Q$38,7,FALSE)</f>
        <v>B7</v>
      </c>
      <c r="U26" s="364" t="str">
        <f>IF([1]参加チーム!$N$17=16,LEFT(VLOOKUP(I26,[1]参加チーム!$J$21:$Q$56,8,FALSE),3),"")</f>
        <v>玖珂中</v>
      </c>
      <c r="V26" s="364"/>
      <c r="W26" s="364"/>
      <c r="X26" s="364"/>
      <c r="Y26" s="384"/>
      <c r="Z26" s="395">
        <v>14</v>
      </c>
      <c r="AA26" s="82" t="str">
        <f>VLOOKUP(Z26,[1]参加チーム!$J$21:$Q$38,4,FALSE)</f>
        <v>B3</v>
      </c>
      <c r="AB26" s="363" t="str">
        <f>IF([1]参加チーム!$N$17=16,LEFT(VLOOKUP(Z26,[1]参加チーム!$J$21:$Q$56,5,FALSE),3),"")</f>
        <v>仁多中</v>
      </c>
      <c r="AC26" s="364"/>
      <c r="AD26" s="364"/>
      <c r="AE26" s="364"/>
      <c r="AF26" s="364"/>
      <c r="AG26" s="382">
        <f>IF(AND(AH26="",AH27=""),"",SUM(AH26:AH27))</f>
        <v>9</v>
      </c>
      <c r="AH26" s="81">
        <v>5</v>
      </c>
      <c r="AI26" s="81">
        <v>0</v>
      </c>
      <c r="AJ26" s="382">
        <f>IF(AND(AI26="",AI27=""),"",SUM(AI26:AI27))</f>
        <v>0</v>
      </c>
      <c r="AK26" s="33" t="str">
        <f>VLOOKUP(Z26,[1]参加チーム!$J$21:$Q$38,7,FALSE)</f>
        <v>B6</v>
      </c>
      <c r="AL26" s="364" t="str">
        <f>IF([1]参加チーム!$N$17=16,LEFT(VLOOKUP(Z26,[1]参加チーム!$J$21:$Q$56,8,FALSE),3),"")</f>
        <v>瀬戸中</v>
      </c>
      <c r="AM26" s="364"/>
      <c r="AN26" s="364"/>
      <c r="AO26" s="364"/>
      <c r="AP26" s="384"/>
    </row>
    <row r="27" spans="1:43" ht="20.25" customHeight="1" x14ac:dyDescent="0.15">
      <c r="A27" s="69" t="s">
        <v>34</v>
      </c>
      <c r="B27" s="357"/>
      <c r="C27" s="358"/>
      <c r="D27" s="358"/>
      <c r="E27" s="360"/>
      <c r="F27" s="358"/>
      <c r="G27" s="358"/>
      <c r="H27" s="358"/>
      <c r="I27" s="400"/>
      <c r="J27" s="32"/>
      <c r="K27" s="365"/>
      <c r="L27" s="366"/>
      <c r="M27" s="366"/>
      <c r="N27" s="366"/>
      <c r="O27" s="366"/>
      <c r="P27" s="383"/>
      <c r="Q27" s="77">
        <v>0</v>
      </c>
      <c r="R27" s="77">
        <v>5</v>
      </c>
      <c r="S27" s="383"/>
      <c r="T27" s="9"/>
      <c r="U27" s="366"/>
      <c r="V27" s="366"/>
      <c r="W27" s="366"/>
      <c r="X27" s="366"/>
      <c r="Y27" s="385"/>
      <c r="Z27" s="396"/>
      <c r="AA27" s="78"/>
      <c r="AB27" s="365"/>
      <c r="AC27" s="366"/>
      <c r="AD27" s="366"/>
      <c r="AE27" s="366"/>
      <c r="AF27" s="366"/>
      <c r="AG27" s="383"/>
      <c r="AH27" s="77">
        <v>4</v>
      </c>
      <c r="AI27" s="77">
        <v>0</v>
      </c>
      <c r="AJ27" s="383"/>
      <c r="AK27" s="9"/>
      <c r="AL27" s="366"/>
      <c r="AM27" s="366"/>
      <c r="AN27" s="366"/>
      <c r="AO27" s="366"/>
      <c r="AP27" s="385"/>
    </row>
    <row r="28" spans="1:43" s="3" customFormat="1" ht="24" customHeight="1" x14ac:dyDescent="0.15">
      <c r="A28" s="103"/>
      <c r="B28" s="397"/>
      <c r="C28" s="398"/>
      <c r="D28" s="398"/>
      <c r="E28" s="398"/>
      <c r="F28" s="398"/>
      <c r="G28" s="398"/>
      <c r="H28" s="398"/>
      <c r="I28" s="102"/>
      <c r="J28" s="59"/>
      <c r="K28" s="101"/>
      <c r="L28" s="54"/>
      <c r="M28" s="54"/>
      <c r="N28" s="54"/>
      <c r="O28" s="54"/>
      <c r="P28" s="56"/>
      <c r="Q28" s="57"/>
      <c r="R28" s="57"/>
      <c r="S28" s="56"/>
      <c r="T28" s="55"/>
      <c r="U28" s="54"/>
      <c r="V28" s="54"/>
      <c r="W28" s="54"/>
      <c r="X28" s="54"/>
      <c r="Y28" s="100"/>
      <c r="Z28" s="60"/>
      <c r="AA28" s="57"/>
      <c r="AB28" s="101"/>
      <c r="AC28" s="54"/>
      <c r="AD28" s="54"/>
      <c r="AE28" s="54"/>
      <c r="AF28" s="54"/>
      <c r="AG28" s="56"/>
      <c r="AH28" s="57"/>
      <c r="AI28" s="57"/>
      <c r="AJ28" s="56"/>
      <c r="AK28" s="55"/>
      <c r="AL28" s="54"/>
      <c r="AM28" s="54"/>
      <c r="AN28" s="54"/>
      <c r="AO28" s="54"/>
      <c r="AP28" s="100"/>
      <c r="AQ28" s="52"/>
    </row>
    <row r="29" spans="1:43" s="3" customFormat="1" ht="20.25" customHeight="1" x14ac:dyDescent="0.15">
      <c r="A29" s="90"/>
      <c r="B29" s="353" t="s">
        <v>30</v>
      </c>
      <c r="C29" s="354" t="s">
        <v>30</v>
      </c>
      <c r="D29" s="354"/>
      <c r="E29" s="354"/>
      <c r="F29" s="354"/>
      <c r="G29" s="354"/>
      <c r="H29" s="354"/>
      <c r="I29" s="40" t="s">
        <v>29</v>
      </c>
      <c r="J29" s="42"/>
      <c r="K29" s="85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84"/>
      <c r="Z29" s="87" t="s">
        <v>29</v>
      </c>
      <c r="AA29" s="86"/>
      <c r="AB29" s="85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84"/>
    </row>
    <row r="30" spans="1:43" ht="20.25" customHeight="1" x14ac:dyDescent="0.15">
      <c r="A30" s="36">
        <f>[1]参加チーム!$J$5</f>
        <v>43672</v>
      </c>
      <c r="B30" s="355" t="str">
        <f>VLOOKUP($I30,[1]リスト!$C$2:$E$37,2,FALSE)</f>
        <v>12：10</v>
      </c>
      <c r="C30" s="356"/>
      <c r="D30" s="356"/>
      <c r="E30" s="359" t="s">
        <v>7</v>
      </c>
      <c r="F30" s="356" t="str">
        <f>VLOOKUP($I30,[1]リスト!$C$2:$E$37,3,FALSE)</f>
        <v>12：45</v>
      </c>
      <c r="G30" s="356"/>
      <c r="H30" s="356"/>
      <c r="I30" s="399">
        <v>15</v>
      </c>
      <c r="J30" s="35" t="str">
        <f>VLOOKUP(I30,[1]参加チーム!$J$21:$Q$38,4,FALSE)</f>
        <v>B5</v>
      </c>
      <c r="K30" s="363" t="str">
        <f>IF([1]参加チーム!$N$17=16,LEFT(VLOOKUP(I30,[1]参加チーム!$J$21:$Q$56,5,FALSE),3),"")</f>
        <v>磐梨中</v>
      </c>
      <c r="L30" s="364"/>
      <c r="M30" s="364"/>
      <c r="N30" s="364"/>
      <c r="O30" s="364"/>
      <c r="P30" s="382">
        <f>IF(AND(Q30="",Q31=""),"",SUM(Q30:Q31))</f>
        <v>0</v>
      </c>
      <c r="Q30" s="81">
        <v>0</v>
      </c>
      <c r="R30" s="81">
        <v>8</v>
      </c>
      <c r="S30" s="382">
        <f>IF(AND(R30="",R31=""),"",SUM(R30:R31))</f>
        <v>15</v>
      </c>
      <c r="T30" s="33" t="str">
        <f>VLOOKUP(I30,[1]参加チーム!$J$21:$Q$38,7,FALSE)</f>
        <v>B4</v>
      </c>
      <c r="U30" s="364" t="str">
        <f>IF([1]参加チーム!$N$17=16,LEFT(VLOOKUP(I30,[1]参加チーム!$J$21:$Q$56,8,FALSE),3),"")</f>
        <v>横田中</v>
      </c>
      <c r="V30" s="364"/>
      <c r="W30" s="364"/>
      <c r="X30" s="364"/>
      <c r="Y30" s="384"/>
      <c r="Z30" s="395">
        <v>16</v>
      </c>
      <c r="AA30" s="82" t="str">
        <f>VLOOKUP(Z30,[1]参加チーム!$J$21:$Q$38,4,FALSE)</f>
        <v>B1</v>
      </c>
      <c r="AB30" s="363" t="str">
        <f>IF([1]参加チーム!$N$17=16,LEFT(VLOOKUP(Z30,[1]参加チーム!$J$21:$Q$56,5,FALSE),3),"")</f>
        <v>八頭中</v>
      </c>
      <c r="AC30" s="364"/>
      <c r="AD30" s="364"/>
      <c r="AE30" s="364"/>
      <c r="AF30" s="364"/>
      <c r="AG30" s="382">
        <f>IF(AND(AH30="",AH31=""),"",SUM(AH30:AH31))</f>
        <v>17</v>
      </c>
      <c r="AH30" s="81">
        <v>7</v>
      </c>
      <c r="AI30" s="81">
        <v>0</v>
      </c>
      <c r="AJ30" s="382">
        <f>IF(AND(AI30="",AI31=""),"",SUM(AI30:AI31))</f>
        <v>0</v>
      </c>
      <c r="AK30" s="33" t="str">
        <f>VLOOKUP(Z30,[1]参加チーム!$J$21:$Q$38,7,FALSE)</f>
        <v>B8</v>
      </c>
      <c r="AL30" s="364" t="str">
        <f>IF([1]参加チーム!$N$17=16,LEFT(VLOOKUP(Z30,[1]参加チーム!$J$21:$Q$56,8,FALSE),3),"")</f>
        <v>高森み</v>
      </c>
      <c r="AM30" s="364"/>
      <c r="AN30" s="364"/>
      <c r="AO30" s="364"/>
      <c r="AP30" s="384"/>
    </row>
    <row r="31" spans="1:43" ht="20.25" customHeight="1" x14ac:dyDescent="0.15">
      <c r="A31" s="90"/>
      <c r="B31" s="357"/>
      <c r="C31" s="358"/>
      <c r="D31" s="358"/>
      <c r="E31" s="360"/>
      <c r="F31" s="358"/>
      <c r="G31" s="358"/>
      <c r="H31" s="358"/>
      <c r="I31" s="400"/>
      <c r="J31" s="32"/>
      <c r="K31" s="365"/>
      <c r="L31" s="366"/>
      <c r="M31" s="366"/>
      <c r="N31" s="366"/>
      <c r="O31" s="366"/>
      <c r="P31" s="382"/>
      <c r="Q31" s="77">
        <v>0</v>
      </c>
      <c r="R31" s="77">
        <v>7</v>
      </c>
      <c r="S31" s="382"/>
      <c r="T31" s="30"/>
      <c r="U31" s="366"/>
      <c r="V31" s="366"/>
      <c r="W31" s="366"/>
      <c r="X31" s="366"/>
      <c r="Y31" s="385"/>
      <c r="Z31" s="396"/>
      <c r="AA31" s="91"/>
      <c r="AB31" s="365"/>
      <c r="AC31" s="366"/>
      <c r="AD31" s="366"/>
      <c r="AE31" s="366"/>
      <c r="AF31" s="366"/>
      <c r="AG31" s="383"/>
      <c r="AH31" s="77">
        <v>10</v>
      </c>
      <c r="AI31" s="77">
        <v>0</v>
      </c>
      <c r="AJ31" s="383"/>
      <c r="AK31" s="9"/>
      <c r="AL31" s="366"/>
      <c r="AM31" s="366"/>
      <c r="AN31" s="366"/>
      <c r="AO31" s="366"/>
      <c r="AP31" s="385"/>
    </row>
    <row r="32" spans="1:43" s="99" customFormat="1" ht="20.25" customHeight="1" x14ac:dyDescent="0.15">
      <c r="A32" s="19"/>
      <c r="B32" s="353" t="s">
        <v>30</v>
      </c>
      <c r="C32" s="354" t="s">
        <v>30</v>
      </c>
      <c r="D32" s="354"/>
      <c r="E32" s="354"/>
      <c r="F32" s="354"/>
      <c r="G32" s="354"/>
      <c r="H32" s="354"/>
      <c r="I32" s="51" t="s">
        <v>33</v>
      </c>
      <c r="J32" s="42"/>
      <c r="K32" s="85"/>
      <c r="L32" s="38"/>
      <c r="M32" s="38"/>
      <c r="N32" s="38"/>
      <c r="O32" s="38"/>
      <c r="P32" s="41"/>
      <c r="Q32" s="38"/>
      <c r="R32" s="38"/>
      <c r="S32" s="38"/>
      <c r="T32" s="38"/>
      <c r="U32" s="38"/>
      <c r="V32" s="38"/>
      <c r="W32" s="38"/>
      <c r="X32" s="38"/>
      <c r="Y32" s="84"/>
      <c r="Z32" s="96" t="s">
        <v>33</v>
      </c>
      <c r="AA32" s="86"/>
      <c r="AB32" s="85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84"/>
    </row>
    <row r="33" spans="1:43" ht="20.25" customHeight="1" x14ac:dyDescent="0.15">
      <c r="A33" s="36">
        <f>[1]参加チーム!$J$5</f>
        <v>43672</v>
      </c>
      <c r="B33" s="355" t="str">
        <f>VLOOKUP($I33,[1]リスト!$C$2:$E$37,2,FALSE)</f>
        <v>13:00</v>
      </c>
      <c r="C33" s="356"/>
      <c r="D33" s="356"/>
      <c r="E33" s="359" t="s">
        <v>7</v>
      </c>
      <c r="F33" s="356" t="str">
        <f>VLOOKUP($I33,[1]リスト!$C$2:$E$37,3,FALSE)</f>
        <v>13:35</v>
      </c>
      <c r="G33" s="356"/>
      <c r="H33" s="356"/>
      <c r="I33" s="399">
        <v>17</v>
      </c>
      <c r="J33" s="35" t="str">
        <f>VLOOKUP(I33,[1]参加チーム!$J$21:$Q$38,4,FALSE)</f>
        <v>G8</v>
      </c>
      <c r="K33" s="363" t="str">
        <f>IF([1]参加チーム!$N$17=16,LEFT(VLOOKUP(I33,[1]参加チーム!$J$21:$Q$56,5,FALSE),3),"")</f>
        <v>高森み</v>
      </c>
      <c r="L33" s="364"/>
      <c r="M33" s="364"/>
      <c r="N33" s="364"/>
      <c r="O33" s="364"/>
      <c r="P33" s="388">
        <f>IF(AND(Q33="",Q34=""),"",SUM(Q33:Q34))</f>
        <v>0</v>
      </c>
      <c r="Q33" s="81">
        <v>0</v>
      </c>
      <c r="R33" s="81">
        <v>5</v>
      </c>
      <c r="S33" s="388">
        <f>IF(AND(R33="",R34=""),"",SUM(R33:R34))</f>
        <v>13</v>
      </c>
      <c r="T33" s="35" t="str">
        <f>VLOOKUP(I33,[1]参加チーム!$J$21:$Q$38,7,FALSE)</f>
        <v>G5</v>
      </c>
      <c r="U33" s="364" t="str">
        <f>IF([1]参加チーム!$N$17,LEFT(VLOOKUP(I33,[1]参加チーム!$J$21:$Q$56,8,FALSE),3),"")</f>
        <v>瀬戸中</v>
      </c>
      <c r="V33" s="364"/>
      <c r="W33" s="364"/>
      <c r="X33" s="364"/>
      <c r="Y33" s="384"/>
      <c r="Z33" s="395">
        <v>18</v>
      </c>
      <c r="AA33" s="82" t="str">
        <f>VLOOKUP(Z33,[1]参加チーム!$J$21:$Q$38,4,FALSE)</f>
        <v>G3</v>
      </c>
      <c r="AB33" s="363" t="str">
        <f>IF([1]参加チーム!$N$17=16,LEFT(VLOOKUP(Z33,[1]参加チーム!$J$21:$Q$56,5,FALSE),3),"")</f>
        <v>横田中</v>
      </c>
      <c r="AC33" s="364"/>
      <c r="AD33" s="364"/>
      <c r="AE33" s="364"/>
      <c r="AF33" s="364"/>
      <c r="AG33" s="388">
        <f>IF(AND(AH33="",AH34=""),"",SUM(AH33:AH34))</f>
        <v>12</v>
      </c>
      <c r="AH33" s="81">
        <v>5</v>
      </c>
      <c r="AI33" s="81">
        <v>0</v>
      </c>
      <c r="AJ33" s="388">
        <f>IF(AND(AI33="",AI34=""),"",SUM(AI33:AI34))</f>
        <v>0</v>
      </c>
      <c r="AK33" s="33" t="str">
        <f>VLOOKUP(Z33,[1]参加チーム!$J$21:$Q$38,7,FALSE)</f>
        <v>G2</v>
      </c>
      <c r="AL33" s="364" t="str">
        <f>IF([1]参加チーム!$N$17,LEFT(VLOOKUP(Z33,[1]参加チーム!$J$21:$Q$56,8,FALSE),3),"")</f>
        <v>桜ヶ丘</v>
      </c>
      <c r="AM33" s="364"/>
      <c r="AN33" s="364"/>
      <c r="AO33" s="364"/>
      <c r="AP33" s="384"/>
    </row>
    <row r="34" spans="1:43" ht="20.25" customHeight="1" x14ac:dyDescent="0.15">
      <c r="A34" s="19"/>
      <c r="B34" s="357"/>
      <c r="C34" s="358"/>
      <c r="D34" s="358"/>
      <c r="E34" s="360"/>
      <c r="F34" s="358"/>
      <c r="G34" s="358"/>
      <c r="H34" s="358"/>
      <c r="I34" s="400"/>
      <c r="J34" s="32"/>
      <c r="K34" s="365"/>
      <c r="L34" s="366"/>
      <c r="M34" s="366"/>
      <c r="N34" s="366"/>
      <c r="O34" s="366"/>
      <c r="P34" s="389"/>
      <c r="Q34" s="77">
        <v>0</v>
      </c>
      <c r="R34" s="77">
        <v>8</v>
      </c>
      <c r="S34" s="389"/>
      <c r="T34" s="9"/>
      <c r="U34" s="366"/>
      <c r="V34" s="366"/>
      <c r="W34" s="366"/>
      <c r="X34" s="366"/>
      <c r="Y34" s="385"/>
      <c r="Z34" s="396"/>
      <c r="AA34" s="91"/>
      <c r="AB34" s="365"/>
      <c r="AC34" s="366"/>
      <c r="AD34" s="366"/>
      <c r="AE34" s="366"/>
      <c r="AF34" s="366"/>
      <c r="AG34" s="389"/>
      <c r="AH34" s="77">
        <v>7</v>
      </c>
      <c r="AI34" s="77">
        <v>0</v>
      </c>
      <c r="AJ34" s="389"/>
      <c r="AK34" s="9"/>
      <c r="AL34" s="366"/>
      <c r="AM34" s="366"/>
      <c r="AN34" s="366"/>
      <c r="AO34" s="366"/>
      <c r="AP34" s="385"/>
    </row>
    <row r="35" spans="1:43" s="3" customFormat="1" ht="27" customHeight="1" x14ac:dyDescent="0.15">
      <c r="A35" s="61"/>
      <c r="B35" s="397"/>
      <c r="C35" s="398"/>
      <c r="D35" s="398"/>
      <c r="E35" s="398"/>
      <c r="F35" s="398"/>
      <c r="G35" s="398"/>
      <c r="H35" s="398"/>
      <c r="I35" s="60"/>
      <c r="J35" s="59"/>
      <c r="K35" s="54"/>
      <c r="L35" s="54"/>
      <c r="M35" s="54"/>
      <c r="N35" s="54"/>
      <c r="O35" s="54"/>
      <c r="P35" s="56"/>
      <c r="Q35" s="57"/>
      <c r="R35" s="57"/>
      <c r="S35" s="56"/>
      <c r="T35" s="55"/>
      <c r="U35" s="54"/>
      <c r="V35" s="54"/>
      <c r="W35" s="54"/>
      <c r="X35" s="54"/>
      <c r="Y35" s="54"/>
      <c r="Z35" s="60"/>
      <c r="AA35" s="57"/>
      <c r="AB35" s="54"/>
      <c r="AC35" s="54"/>
      <c r="AD35" s="54"/>
      <c r="AE35" s="54"/>
      <c r="AF35" s="54"/>
      <c r="AG35" s="56"/>
      <c r="AH35" s="57"/>
      <c r="AI35" s="57"/>
      <c r="AJ35" s="56"/>
      <c r="AK35" s="55"/>
      <c r="AL35" s="54"/>
      <c r="AM35" s="54"/>
      <c r="AN35" s="54"/>
      <c r="AO35" s="54"/>
      <c r="AP35" s="53"/>
      <c r="AQ35" s="52"/>
    </row>
    <row r="36" spans="1:43" s="3" customFormat="1" ht="20.25" customHeight="1" x14ac:dyDescent="0.15">
      <c r="A36" s="98"/>
      <c r="B36" s="391" t="s">
        <v>30</v>
      </c>
      <c r="C36" s="392" t="s">
        <v>30</v>
      </c>
      <c r="D36" s="392"/>
      <c r="E36" s="392"/>
      <c r="F36" s="392"/>
      <c r="G36" s="392"/>
      <c r="H36" s="401"/>
      <c r="I36" s="97" t="s">
        <v>32</v>
      </c>
      <c r="J36" s="88"/>
      <c r="K36" s="85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84"/>
      <c r="Z36" s="96" t="s">
        <v>32</v>
      </c>
      <c r="AA36" s="86"/>
      <c r="AB36" s="85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84"/>
    </row>
    <row r="37" spans="1:43" ht="20.25" customHeight="1" x14ac:dyDescent="0.15">
      <c r="A37" s="36">
        <f>[1]参加チーム!$J$5</f>
        <v>43672</v>
      </c>
      <c r="B37" s="355" t="str">
        <f>VLOOKUP($I37,[1]リスト!$C$2:$E$37,2,FALSE)</f>
        <v>13:40</v>
      </c>
      <c r="C37" s="356"/>
      <c r="D37" s="356"/>
      <c r="E37" s="359" t="s">
        <v>7</v>
      </c>
      <c r="F37" s="356" t="str">
        <f>VLOOKUP($I37,[1]リスト!$C$2:$E$37,3,FALSE)</f>
        <v>14:15</v>
      </c>
      <c r="G37" s="356"/>
      <c r="H37" s="356"/>
      <c r="I37" s="361">
        <v>19</v>
      </c>
      <c r="J37" s="83" t="e">
        <f>VLOOKUP(I37,[1]参加チーム!$J$21:$Q$38,4,FALSE)</f>
        <v>#N/A</v>
      </c>
      <c r="K37" s="363" t="str">
        <f>IF([1]参加チーム!$N$17=16,LEFT(VLOOKUP(I37,[1]参加チーム!$J$21:$Q$56,5,FALSE),3),"")</f>
        <v>仁多中</v>
      </c>
      <c r="L37" s="364"/>
      <c r="M37" s="364"/>
      <c r="N37" s="364"/>
      <c r="O37" s="364"/>
      <c r="P37" s="382">
        <f>IF(AND(Q37="",Q38=""),"",SUM(Q37:Q38))</f>
        <v>1</v>
      </c>
      <c r="Q37" s="81">
        <v>1</v>
      </c>
      <c r="R37" s="81">
        <v>1</v>
      </c>
      <c r="S37" s="382">
        <f>IF(AND(R37="",R38=""),"",SUM(R37:R38))</f>
        <v>5</v>
      </c>
      <c r="T37" s="33" t="e">
        <f>VLOOKUP(I37,[1]参加チーム!$J$21:$Q$38,7,FALSE)</f>
        <v>#N/A</v>
      </c>
      <c r="U37" s="364" t="str">
        <f>IF([1]参加チーム!$N$17,LEFT(VLOOKUP(I37,[1]参加チーム!$J$21:$Q$56,8,FALSE),3),"")</f>
        <v>玖珂中</v>
      </c>
      <c r="V37" s="364"/>
      <c r="W37" s="364"/>
      <c r="X37" s="364"/>
      <c r="Y37" s="384"/>
      <c r="Z37" s="395">
        <v>20</v>
      </c>
      <c r="AA37" s="82" t="e">
        <f>VLOOKUP(Z37,[1]参加チーム!$J$21:$Q$38,4,FALSE)</f>
        <v>#N/A</v>
      </c>
      <c r="AB37" s="363" t="str">
        <f>IF([1]参加チーム!$N$17=16,LEFT(VLOOKUP(Z37,[1]参加チーム!$J$21:$Q$56,5,FALSE),3),"")</f>
        <v>八頭中</v>
      </c>
      <c r="AC37" s="364"/>
      <c r="AD37" s="364"/>
      <c r="AE37" s="364"/>
      <c r="AF37" s="364"/>
      <c r="AG37" s="382">
        <f>IF(AND(AH37="",AH38=""),"",SUM(AH37:AH38))</f>
        <v>3</v>
      </c>
      <c r="AH37" s="81">
        <v>2</v>
      </c>
      <c r="AI37" s="81">
        <v>2</v>
      </c>
      <c r="AJ37" s="382">
        <f>IF(AND(AI37="",AI38=""),"",SUM(AI37:AI38))</f>
        <v>3</v>
      </c>
      <c r="AK37" s="33" t="e">
        <f>VLOOKUP(Z37,[1]参加チーム!$J$21:$Q$38,7,FALSE)</f>
        <v>#N/A</v>
      </c>
      <c r="AL37" s="364" t="str">
        <f>IF([1]参加チーム!$N$17,LEFT(VLOOKUP(Z37,[1]参加チーム!$J$21:$Q$56,8,FALSE),3),"")</f>
        <v>磐梨中</v>
      </c>
      <c r="AM37" s="364"/>
      <c r="AN37" s="364"/>
      <c r="AO37" s="364"/>
      <c r="AP37" s="384"/>
    </row>
    <row r="38" spans="1:43" ht="20.25" customHeight="1" x14ac:dyDescent="0.15">
      <c r="A38" s="95"/>
      <c r="B38" s="357"/>
      <c r="C38" s="358"/>
      <c r="D38" s="358"/>
      <c r="E38" s="360"/>
      <c r="F38" s="358"/>
      <c r="G38" s="358"/>
      <c r="H38" s="358"/>
      <c r="I38" s="362"/>
      <c r="J38" s="93"/>
      <c r="K38" s="365"/>
      <c r="L38" s="366"/>
      <c r="M38" s="366"/>
      <c r="N38" s="366"/>
      <c r="O38" s="366"/>
      <c r="P38" s="383"/>
      <c r="Q38" s="77">
        <v>0</v>
      </c>
      <c r="R38" s="77">
        <v>4</v>
      </c>
      <c r="S38" s="383"/>
      <c r="T38" s="9"/>
      <c r="U38" s="366"/>
      <c r="V38" s="366"/>
      <c r="W38" s="366"/>
      <c r="X38" s="366"/>
      <c r="Y38" s="385"/>
      <c r="Z38" s="396"/>
      <c r="AA38" s="91"/>
      <c r="AB38" s="365"/>
      <c r="AC38" s="366"/>
      <c r="AD38" s="366"/>
      <c r="AE38" s="366"/>
      <c r="AF38" s="366"/>
      <c r="AG38" s="383"/>
      <c r="AH38" s="77">
        <v>1</v>
      </c>
      <c r="AI38" s="77">
        <v>1</v>
      </c>
      <c r="AJ38" s="383"/>
      <c r="AK38" s="9"/>
      <c r="AL38" s="366"/>
      <c r="AM38" s="366"/>
      <c r="AN38" s="366"/>
      <c r="AO38" s="366"/>
      <c r="AP38" s="385"/>
    </row>
    <row r="39" spans="1:43" s="3" customFormat="1" ht="20.25" customHeight="1" x14ac:dyDescent="0.15">
      <c r="A39" s="90"/>
      <c r="B39" s="353" t="s">
        <v>30</v>
      </c>
      <c r="C39" s="354"/>
      <c r="D39" s="354"/>
      <c r="E39" s="354"/>
      <c r="F39" s="354"/>
      <c r="G39" s="354"/>
      <c r="H39" s="354"/>
      <c r="I39" s="89" t="s">
        <v>31</v>
      </c>
      <c r="J39" s="88"/>
      <c r="K39" s="85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84"/>
      <c r="Z39" s="87" t="s">
        <v>31</v>
      </c>
      <c r="AA39" s="86"/>
      <c r="AB39" s="85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84"/>
    </row>
    <row r="40" spans="1:43" ht="20.25" customHeight="1" x14ac:dyDescent="0.15">
      <c r="A40" s="36">
        <f>[1]参加チーム!$J$5</f>
        <v>43672</v>
      </c>
      <c r="B40" s="355" t="str">
        <f>VLOOKUP($I40,[1]リスト!$C$2:$E$37,2,FALSE)</f>
        <v>14：30</v>
      </c>
      <c r="C40" s="356"/>
      <c r="D40" s="356"/>
      <c r="E40" s="359" t="s">
        <v>7</v>
      </c>
      <c r="F40" s="356" t="str">
        <f>VLOOKUP($I40,[1]リスト!$C$2:$E$37,3,FALSE)</f>
        <v>15：05</v>
      </c>
      <c r="G40" s="356"/>
      <c r="H40" s="356"/>
      <c r="I40" s="361">
        <v>21</v>
      </c>
      <c r="J40" s="83" t="e">
        <f>VLOOKUP(I40,[1]参加チーム!$J$21:$Q$38,4,FALSE)</f>
        <v>#N/A</v>
      </c>
      <c r="K40" s="363" t="str">
        <f>IF([1]参加チーム!$N$17=16,LEFT(VLOOKUP(I40,[1]参加チーム!$J$21:$Q$56,5,FALSE),3),"")</f>
        <v>桜ヶ丘</v>
      </c>
      <c r="L40" s="364"/>
      <c r="M40" s="364"/>
      <c r="N40" s="364"/>
      <c r="O40" s="364"/>
      <c r="P40" s="388">
        <f>IF(AND(Q40="",Q41=""),"",SUM(Q40:Q41))</f>
        <v>3</v>
      </c>
      <c r="Q40" s="81">
        <v>2</v>
      </c>
      <c r="R40" s="81">
        <v>1</v>
      </c>
      <c r="S40" s="382">
        <f>IF(AND(R40="",R41=""),"",SUM(R40:R41))</f>
        <v>4</v>
      </c>
      <c r="T40" s="94" t="e">
        <f>VLOOKUP(I40,[1]参加チーム!$J$21:$Q$38,7,FALSE)</f>
        <v>#N/A</v>
      </c>
      <c r="U40" s="364" t="str">
        <f>IF([1]参加チーム!$N$17=16,LEFT(VLOOKUP(I40,[1]参加チーム!$J$21:$Q$56,8,FALSE),3),"")</f>
        <v>瀬戸中</v>
      </c>
      <c r="V40" s="364"/>
      <c r="W40" s="364"/>
      <c r="X40" s="364"/>
      <c r="Y40" s="384"/>
      <c r="Z40" s="395">
        <v>22</v>
      </c>
      <c r="AA40" s="82" t="e">
        <f>VLOOKUP(Z40,[1]参加チーム!$J$21:$Q$38,4,FALSE)</f>
        <v>#N/A</v>
      </c>
      <c r="AB40" s="363" t="str">
        <f>IF([1]参加チーム!$N$17=16,LEFT(VLOOKUP(Z40,[1]参加チーム!$J$21:$Q$56,5,FALSE),3),"")</f>
        <v>仁多中</v>
      </c>
      <c r="AC40" s="364"/>
      <c r="AD40" s="364"/>
      <c r="AE40" s="364"/>
      <c r="AF40" s="364"/>
      <c r="AG40" s="382">
        <f>IF(AND(AH40="",AH41=""),"",SUM(AH40:AH41))</f>
        <v>1</v>
      </c>
      <c r="AH40" s="81">
        <v>0</v>
      </c>
      <c r="AI40" s="81">
        <v>1</v>
      </c>
      <c r="AJ40" s="382">
        <f>IF(AND(AI40="",AI41=""),"",SUM(AI40:AI41))</f>
        <v>4</v>
      </c>
      <c r="AK40" s="33" t="e">
        <f>VLOOKUP(Z40,[1]参加チーム!$J$21:$Q$38,7,FALSE)</f>
        <v>#N/A</v>
      </c>
      <c r="AL40" s="364" t="str">
        <f>IF([1]参加チーム!$N$17=16,LEFT(VLOOKUP(Z40,[1]参加チーム!$J$21:$Q$56,8,FALSE),3),"")</f>
        <v>玖珂中</v>
      </c>
      <c r="AM40" s="364"/>
      <c r="AN40" s="364"/>
      <c r="AO40" s="364"/>
      <c r="AP40" s="384"/>
    </row>
    <row r="41" spans="1:43" ht="20.25" customHeight="1" x14ac:dyDescent="0.15">
      <c r="A41" s="90"/>
      <c r="B41" s="355"/>
      <c r="C41" s="356"/>
      <c r="D41" s="356"/>
      <c r="E41" s="359"/>
      <c r="F41" s="356"/>
      <c r="G41" s="356"/>
      <c r="H41" s="356"/>
      <c r="I41" s="361"/>
      <c r="J41" s="93"/>
      <c r="K41" s="365"/>
      <c r="L41" s="366"/>
      <c r="M41" s="366"/>
      <c r="N41" s="366"/>
      <c r="O41" s="366"/>
      <c r="P41" s="388"/>
      <c r="Q41" s="77">
        <v>1</v>
      </c>
      <c r="R41" s="77">
        <v>3</v>
      </c>
      <c r="S41" s="382"/>
      <c r="T41" s="92"/>
      <c r="U41" s="366"/>
      <c r="V41" s="366"/>
      <c r="W41" s="366"/>
      <c r="X41" s="366"/>
      <c r="Y41" s="385"/>
      <c r="Z41" s="395"/>
      <c r="AA41" s="91"/>
      <c r="AB41" s="365"/>
      <c r="AC41" s="366"/>
      <c r="AD41" s="366"/>
      <c r="AE41" s="366"/>
      <c r="AF41" s="366"/>
      <c r="AG41" s="382"/>
      <c r="AH41" s="77">
        <v>1</v>
      </c>
      <c r="AI41" s="77">
        <v>3</v>
      </c>
      <c r="AJ41" s="382"/>
      <c r="AK41" s="30"/>
      <c r="AL41" s="366"/>
      <c r="AM41" s="366"/>
      <c r="AN41" s="366"/>
      <c r="AO41" s="366"/>
      <c r="AP41" s="385"/>
    </row>
    <row r="42" spans="1:43" s="3" customFormat="1" ht="20.25" customHeight="1" x14ac:dyDescent="0.15">
      <c r="A42" s="90"/>
      <c r="B42" s="353" t="s">
        <v>30</v>
      </c>
      <c r="C42" s="354"/>
      <c r="D42" s="354"/>
      <c r="E42" s="354"/>
      <c r="F42" s="354"/>
      <c r="G42" s="354"/>
      <c r="H42" s="354"/>
      <c r="I42" s="89" t="s">
        <v>29</v>
      </c>
      <c r="J42" s="88"/>
      <c r="K42" s="85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84"/>
      <c r="Z42" s="87" t="s">
        <v>29</v>
      </c>
      <c r="AA42" s="86"/>
      <c r="AB42" s="85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84"/>
    </row>
    <row r="43" spans="1:43" ht="20.25" customHeight="1" x14ac:dyDescent="0.15">
      <c r="A43" s="36">
        <f>[1]参加チーム!$J$5</f>
        <v>43672</v>
      </c>
      <c r="B43" s="355" t="str">
        <f>VLOOKUP($I43,[1]リスト!$C$2:$E$37,2,FALSE)</f>
        <v>15：10</v>
      </c>
      <c r="C43" s="356"/>
      <c r="D43" s="356"/>
      <c r="E43" s="359" t="s">
        <v>7</v>
      </c>
      <c r="F43" s="356" t="str">
        <f>VLOOKUP($I43,[1]リスト!$C$2:$E$37,3,FALSE)</f>
        <v>15：45</v>
      </c>
      <c r="G43" s="356"/>
      <c r="H43" s="356"/>
      <c r="I43" s="361">
        <v>23</v>
      </c>
      <c r="J43" s="83" t="e">
        <f>VLOOKUP(I43,[1]参加チーム!$J$21:$Q$38,4,FALSE)</f>
        <v>#N/A</v>
      </c>
      <c r="K43" s="363" t="str">
        <f>IF([1]参加チーム!$N$17=16,LEFT(VLOOKUP(I43,[1]参加チーム!$J$21:$Q$56,5,FALSE),3),"")</f>
        <v>磐梨中</v>
      </c>
      <c r="L43" s="364"/>
      <c r="M43" s="364"/>
      <c r="N43" s="364"/>
      <c r="O43" s="364"/>
      <c r="P43" s="388">
        <f>IF(AND(Q43="",Q44=""),"",SUM(Q43:Q44))</f>
        <v>6</v>
      </c>
      <c r="Q43" s="81">
        <v>2</v>
      </c>
      <c r="R43" s="81">
        <v>0</v>
      </c>
      <c r="S43" s="388">
        <f>IF(AND(R43="",R44=""),"",SUM(R43:R44))</f>
        <v>1</v>
      </c>
      <c r="T43" s="33" t="e">
        <f>VLOOKUP(I43,[1]参加チーム!$J$21:$Q$38,7,FALSE)</f>
        <v>#N/A</v>
      </c>
      <c r="U43" s="364" t="str">
        <f>IF([1]参加チーム!$N$17=16,LEFT(VLOOKUP(I43,[1]参加チーム!$J$21:$Q$56,8,FALSE),3),"")</f>
        <v>高森み</v>
      </c>
      <c r="V43" s="364"/>
      <c r="W43" s="364"/>
      <c r="X43" s="364"/>
      <c r="Y43" s="384"/>
      <c r="Z43" s="395">
        <v>24</v>
      </c>
      <c r="AA43" s="82" t="e">
        <f>VLOOKUP(Z43,[1]参加チーム!$J$21:$Q$38,4,FALSE)</f>
        <v>#N/A</v>
      </c>
      <c r="AB43" s="363" t="str">
        <f>IF([1]参加チーム!$N$17=16,LEFT(VLOOKUP(Z43,[1]参加チーム!$J$21:$Q$56,5,FALSE),3),"")</f>
        <v>八頭中</v>
      </c>
      <c r="AC43" s="364"/>
      <c r="AD43" s="364"/>
      <c r="AE43" s="364"/>
      <c r="AF43" s="364"/>
      <c r="AG43" s="382">
        <f>IF(AND(AH43="",AH44=""),"",SUM(AH43:AH44))</f>
        <v>4</v>
      </c>
      <c r="AH43" s="81">
        <v>2</v>
      </c>
      <c r="AI43" s="81">
        <v>1</v>
      </c>
      <c r="AJ43" s="382">
        <f>IF(AND(AI43="",AI44=""),"",SUM(AI43:AI44))</f>
        <v>1</v>
      </c>
      <c r="AK43" s="33" t="e">
        <f>VLOOKUP(Z43,[1]参加チーム!$J$21:$Q$38,7,FALSE)</f>
        <v>#N/A</v>
      </c>
      <c r="AL43" s="364" t="str">
        <f>IF([1]参加チーム!$N$17=16,LEFT(VLOOKUP(Z43,[1]参加チーム!$J$21:$Q$56,8,FALSE),3),"")</f>
        <v>横田中</v>
      </c>
      <c r="AM43" s="364"/>
      <c r="AN43" s="364"/>
      <c r="AO43" s="364"/>
      <c r="AP43" s="384"/>
    </row>
    <row r="44" spans="1:43" ht="20.25" customHeight="1" x14ac:dyDescent="0.15">
      <c r="A44" s="80"/>
      <c r="B44" s="357"/>
      <c r="C44" s="358"/>
      <c r="D44" s="358"/>
      <c r="E44" s="360"/>
      <c r="F44" s="358"/>
      <c r="G44" s="358"/>
      <c r="H44" s="358"/>
      <c r="I44" s="362"/>
      <c r="J44" s="79"/>
      <c r="K44" s="365"/>
      <c r="L44" s="366"/>
      <c r="M44" s="366"/>
      <c r="N44" s="366"/>
      <c r="O44" s="366"/>
      <c r="P44" s="389"/>
      <c r="Q44" s="77">
        <v>4</v>
      </c>
      <c r="R44" s="77">
        <v>1</v>
      </c>
      <c r="S44" s="389"/>
      <c r="T44" s="9"/>
      <c r="U44" s="366"/>
      <c r="V44" s="366"/>
      <c r="W44" s="366"/>
      <c r="X44" s="366"/>
      <c r="Y44" s="385"/>
      <c r="Z44" s="396"/>
      <c r="AA44" s="78"/>
      <c r="AB44" s="365"/>
      <c r="AC44" s="366"/>
      <c r="AD44" s="366"/>
      <c r="AE44" s="366"/>
      <c r="AF44" s="366"/>
      <c r="AG44" s="383"/>
      <c r="AH44" s="77">
        <v>2</v>
      </c>
      <c r="AI44" s="77">
        <v>0</v>
      </c>
      <c r="AJ44" s="383"/>
      <c r="AK44" s="9"/>
      <c r="AL44" s="366"/>
      <c r="AM44" s="366"/>
      <c r="AN44" s="366"/>
      <c r="AO44" s="366"/>
      <c r="AP44" s="385"/>
    </row>
    <row r="45" spans="1:43" ht="33" customHeight="1" x14ac:dyDescent="0.2">
      <c r="A45" s="74" t="s">
        <v>28</v>
      </c>
      <c r="B45" s="74"/>
      <c r="C45" s="74"/>
      <c r="D45" s="74"/>
      <c r="E45" s="74"/>
      <c r="F45" s="74"/>
      <c r="G45" s="74"/>
      <c r="H45" s="74"/>
      <c r="I45" s="76"/>
      <c r="J45" s="76"/>
      <c r="K45" s="76"/>
      <c r="L45" s="76"/>
      <c r="M45" s="76"/>
      <c r="N45" s="76"/>
      <c r="O45" s="76"/>
      <c r="P45" s="76"/>
      <c r="Q45" s="74"/>
      <c r="R45" s="74"/>
      <c r="S45" s="74"/>
      <c r="T45" s="75"/>
      <c r="U45" s="74"/>
      <c r="V45" s="74"/>
      <c r="W45" s="74"/>
      <c r="X45" s="74"/>
      <c r="Y45" s="74"/>
      <c r="Z45" s="75"/>
      <c r="AA45" s="75"/>
      <c r="AB45" s="74"/>
      <c r="AC45" s="74"/>
      <c r="AD45" s="74"/>
      <c r="AE45" s="74"/>
      <c r="AF45" s="74"/>
      <c r="AG45" s="74"/>
      <c r="AH45" s="74"/>
      <c r="AI45" s="74"/>
      <c r="AJ45" s="74"/>
      <c r="AK45" s="75"/>
      <c r="AL45" s="74"/>
      <c r="AM45" s="74"/>
      <c r="AN45" s="74"/>
      <c r="AO45" s="74"/>
      <c r="AP45" s="74"/>
    </row>
    <row r="46" spans="1:43" s="3" customFormat="1" ht="20.25" customHeight="1" x14ac:dyDescent="0.15">
      <c r="A46" s="43"/>
      <c r="B46" s="353" t="s">
        <v>27</v>
      </c>
      <c r="C46" s="354"/>
      <c r="D46" s="354"/>
      <c r="E46" s="354"/>
      <c r="F46" s="354"/>
      <c r="G46" s="354"/>
      <c r="H46" s="354"/>
      <c r="I46" s="51" t="s">
        <v>8</v>
      </c>
      <c r="J46" s="42"/>
      <c r="K46" s="50" t="s">
        <v>26</v>
      </c>
      <c r="L46" s="38">
        <v>2</v>
      </c>
      <c r="M46" s="38" t="s">
        <v>11</v>
      </c>
      <c r="N46" s="38"/>
      <c r="O46" s="38"/>
      <c r="P46" s="38"/>
      <c r="Q46" s="38"/>
      <c r="R46" s="38"/>
      <c r="S46" s="38"/>
      <c r="T46" s="38"/>
      <c r="U46" s="38" t="s">
        <v>19</v>
      </c>
      <c r="V46" s="38">
        <v>3</v>
      </c>
      <c r="W46" s="38" t="s">
        <v>11</v>
      </c>
      <c r="X46" s="38"/>
      <c r="Y46" s="38"/>
      <c r="Z46" s="51" t="s">
        <v>18</v>
      </c>
      <c r="AA46" s="39"/>
      <c r="AB46" s="50" t="s">
        <v>17</v>
      </c>
      <c r="AC46" s="38">
        <v>3</v>
      </c>
      <c r="AD46" s="38" t="s">
        <v>11</v>
      </c>
      <c r="AE46" s="38"/>
      <c r="AF46" s="38"/>
      <c r="AG46" s="38"/>
      <c r="AH46" s="38"/>
      <c r="AI46" s="38"/>
      <c r="AJ46" s="38"/>
      <c r="AK46" s="38"/>
      <c r="AL46" s="38" t="s">
        <v>19</v>
      </c>
      <c r="AM46" s="38">
        <v>2</v>
      </c>
      <c r="AN46" s="38" t="s">
        <v>11</v>
      </c>
      <c r="AO46" s="38"/>
      <c r="AP46" s="37"/>
    </row>
    <row r="47" spans="1:43" ht="20.25" customHeight="1" x14ac:dyDescent="0.15">
      <c r="A47" s="36">
        <f>$A$7+1</f>
        <v>1</v>
      </c>
      <c r="B47" s="355" t="str">
        <f>VLOOKUP($I47,[1]リスト!$C$2:$E$37,2,FALSE)</f>
        <v>9：30</v>
      </c>
      <c r="C47" s="356"/>
      <c r="D47" s="356"/>
      <c r="E47" s="359" t="s">
        <v>81</v>
      </c>
      <c r="F47" s="356" t="str">
        <f>VLOOKUP($I47,[1]リスト!$C$2:$E$37,3,FALSE)</f>
        <v>10：05</v>
      </c>
      <c r="G47" s="356"/>
      <c r="H47" s="356"/>
      <c r="I47" s="399">
        <v>25</v>
      </c>
      <c r="J47" s="35" t="str">
        <f>VLOOKUP(L46,女子b!$AW$31:$AY$34,3,FALSE)</f>
        <v>G5</v>
      </c>
      <c r="K47" s="405" t="str">
        <f>[1]組合せ表!J57</f>
        <v>瀬戸中</v>
      </c>
      <c r="L47" s="402"/>
      <c r="M47" s="402"/>
      <c r="N47" s="402"/>
      <c r="O47" s="402"/>
      <c r="P47" s="382">
        <f>IF(AND(Q47="",Q48=""),"",SUM(Q47:Q48))</f>
        <v>1</v>
      </c>
      <c r="Q47" s="31">
        <v>1</v>
      </c>
      <c r="R47" s="31">
        <v>1</v>
      </c>
      <c r="S47" s="382">
        <f>IF(AND(R47="",R48=""),"",SUM(R47:R48))</f>
        <v>2</v>
      </c>
      <c r="T47" s="33" t="e">
        <f>VLOOKUP(V46,[2]女子a!$AW$23:$AY$25,3,FALSE)</f>
        <v>#N/A</v>
      </c>
      <c r="U47" s="402" t="str">
        <f>[1]組合せ表!N57</f>
        <v>磐梨中</v>
      </c>
      <c r="V47" s="402"/>
      <c r="W47" s="402"/>
      <c r="X47" s="402"/>
      <c r="Y47" s="402"/>
      <c r="Z47" s="399">
        <v>26</v>
      </c>
      <c r="AA47" s="34" t="e">
        <f>VLOOKUP(AC46,[2]女子b!$AW$31:$AY$34,3,FALSE)</f>
        <v>#N/A</v>
      </c>
      <c r="AB47" s="402" t="str">
        <f>[1]組合せ表!R57</f>
        <v>桜ヶ丘</v>
      </c>
      <c r="AC47" s="402"/>
      <c r="AD47" s="402"/>
      <c r="AE47" s="402"/>
      <c r="AF47" s="402"/>
      <c r="AG47" s="382">
        <f>IF(AND(AH47="",AH48=""),"",SUM(AH47:AH48))</f>
        <v>0</v>
      </c>
      <c r="AH47" s="31">
        <v>0</v>
      </c>
      <c r="AI47" s="31">
        <v>2</v>
      </c>
      <c r="AJ47" s="382">
        <f>IF(AND(AI47="",AI48=""),"",SUM(AI47:AI48))</f>
        <v>6</v>
      </c>
      <c r="AK47" s="33" t="e">
        <f>VLOOKUP(AM46,[2]女子a!$AW$23:$AY$25,3,FALSE)</f>
        <v>#N/A</v>
      </c>
      <c r="AL47" s="402" t="str">
        <f>[1]組合せ表!V57</f>
        <v>八頭中</v>
      </c>
      <c r="AM47" s="402"/>
      <c r="AN47" s="402"/>
      <c r="AO47" s="402"/>
      <c r="AP47" s="403"/>
    </row>
    <row r="48" spans="1:43" ht="20.25" customHeight="1" x14ac:dyDescent="0.15">
      <c r="A48" s="19"/>
      <c r="B48" s="355"/>
      <c r="C48" s="356"/>
      <c r="D48" s="356"/>
      <c r="E48" s="359"/>
      <c r="F48" s="356"/>
      <c r="G48" s="356"/>
      <c r="H48" s="356"/>
      <c r="I48" s="399"/>
      <c r="J48" s="32"/>
      <c r="K48" s="405"/>
      <c r="L48" s="402"/>
      <c r="M48" s="402"/>
      <c r="N48" s="402"/>
      <c r="O48" s="402"/>
      <c r="P48" s="382"/>
      <c r="Q48" s="31">
        <v>0</v>
      </c>
      <c r="R48" s="31">
        <v>1</v>
      </c>
      <c r="S48" s="382"/>
      <c r="T48" s="30"/>
      <c r="U48" s="402"/>
      <c r="V48" s="402"/>
      <c r="W48" s="402"/>
      <c r="X48" s="402"/>
      <c r="Y48" s="402"/>
      <c r="Z48" s="399"/>
      <c r="AA48" s="13"/>
      <c r="AB48" s="402"/>
      <c r="AC48" s="402"/>
      <c r="AD48" s="402"/>
      <c r="AE48" s="402"/>
      <c r="AF48" s="402"/>
      <c r="AG48" s="382"/>
      <c r="AH48" s="31">
        <v>0</v>
      </c>
      <c r="AI48" s="31">
        <v>4</v>
      </c>
      <c r="AJ48" s="382"/>
      <c r="AK48" s="30"/>
      <c r="AL48" s="402"/>
      <c r="AM48" s="402"/>
      <c r="AN48" s="402"/>
      <c r="AO48" s="402"/>
      <c r="AP48" s="403"/>
    </row>
    <row r="49" spans="1:42" ht="20.25" customHeight="1" x14ac:dyDescent="0.15">
      <c r="A49" s="19"/>
      <c r="B49" s="28"/>
      <c r="C49" s="27"/>
      <c r="D49" s="27"/>
      <c r="E49" s="27"/>
      <c r="F49" s="27"/>
      <c r="G49" s="27"/>
      <c r="H49" s="27"/>
      <c r="I49" s="25"/>
      <c r="J49" s="26"/>
      <c r="K49" s="73"/>
      <c r="L49" s="9"/>
      <c r="M49" s="9"/>
      <c r="N49" s="9"/>
      <c r="O49" s="9"/>
      <c r="P49" s="23"/>
      <c r="Q49" s="404" t="str">
        <f>IF(OR(Q47="",R47="",Q48="",R48=""),"",IF(P47=S47,$B50,""))</f>
        <v/>
      </c>
      <c r="R49" s="404"/>
      <c r="S49" s="23"/>
      <c r="T49" s="9"/>
      <c r="U49" s="9"/>
      <c r="V49" s="9"/>
      <c r="W49" s="9"/>
      <c r="X49" s="9"/>
      <c r="Y49" s="9"/>
      <c r="Z49" s="25"/>
      <c r="AA49" s="13"/>
      <c r="AB49" s="9"/>
      <c r="AC49" s="9"/>
      <c r="AD49" s="9"/>
      <c r="AE49" s="9"/>
      <c r="AF49" s="9"/>
      <c r="AG49" s="23"/>
      <c r="AH49" s="404" t="str">
        <f>IF(OR(AH47="",AI47="",AH48="",AI48=""),"",IF(AG47=AJ47,$B50,""))</f>
        <v/>
      </c>
      <c r="AI49" s="404"/>
      <c r="AJ49" s="23"/>
      <c r="AK49" s="9"/>
      <c r="AL49" s="9"/>
      <c r="AM49" s="9"/>
      <c r="AN49" s="9"/>
      <c r="AO49" s="9"/>
      <c r="AP49" s="49"/>
    </row>
    <row r="50" spans="1:42" ht="20.25" hidden="1" customHeight="1" x14ac:dyDescent="0.15">
      <c r="A50" s="19"/>
      <c r="B50" s="18" t="s">
        <v>83</v>
      </c>
      <c r="C50" s="17"/>
      <c r="D50" s="17"/>
      <c r="E50" s="17"/>
      <c r="F50" s="17"/>
      <c r="G50" s="17"/>
      <c r="H50" s="17"/>
      <c r="I50" s="48"/>
      <c r="J50" s="15"/>
      <c r="K50" s="8" t="s">
        <v>24</v>
      </c>
      <c r="L50" s="7"/>
      <c r="M50" s="7"/>
      <c r="N50" s="7"/>
      <c r="O50" s="7"/>
      <c r="P50" s="10">
        <f>SUM(P47,P49)</f>
        <v>1</v>
      </c>
      <c r="Q50" s="11">
        <f>SUM(Q47:Q48)</f>
        <v>1</v>
      </c>
      <c r="R50" s="11">
        <f>SUM(R47:R48)</f>
        <v>2</v>
      </c>
      <c r="S50" s="10">
        <f>SUM(S47:S49)</f>
        <v>2</v>
      </c>
      <c r="T50" s="9"/>
      <c r="U50" s="8" t="s">
        <v>23</v>
      </c>
      <c r="V50" s="7"/>
      <c r="W50" s="7"/>
      <c r="X50" s="7"/>
      <c r="Y50" s="7"/>
      <c r="Z50" s="48"/>
      <c r="AA50" s="13"/>
      <c r="AB50" s="8" t="s">
        <v>22</v>
      </c>
      <c r="AC50" s="7"/>
      <c r="AD50" s="7"/>
      <c r="AE50" s="7"/>
      <c r="AF50" s="7"/>
      <c r="AG50" s="10">
        <f>SUM(AG47,AG49)</f>
        <v>0</v>
      </c>
      <c r="AH50" s="11"/>
      <c r="AI50" s="11"/>
      <c r="AJ50" s="10">
        <f>SUM(AJ47:AJ49)</f>
        <v>6</v>
      </c>
      <c r="AK50" s="9"/>
      <c r="AL50" s="8" t="s">
        <v>21</v>
      </c>
      <c r="AM50" s="7"/>
      <c r="AN50" s="7"/>
      <c r="AO50" s="7"/>
      <c r="AP50" s="6"/>
    </row>
    <row r="51" spans="1:42" s="3" customFormat="1" ht="20.25" customHeight="1" x14ac:dyDescent="0.15">
      <c r="A51" s="43"/>
      <c r="B51" s="353" t="s">
        <v>25</v>
      </c>
      <c r="C51" s="354"/>
      <c r="D51" s="354"/>
      <c r="E51" s="354"/>
      <c r="F51" s="354"/>
      <c r="G51" s="354"/>
      <c r="H51" s="354"/>
      <c r="I51" s="40" t="s">
        <v>3</v>
      </c>
      <c r="J51" s="42"/>
      <c r="K51" s="38" t="s">
        <v>12</v>
      </c>
      <c r="L51" s="38">
        <v>2</v>
      </c>
      <c r="M51" s="38" t="s">
        <v>11</v>
      </c>
      <c r="N51" s="38"/>
      <c r="O51" s="38"/>
      <c r="P51" s="41"/>
      <c r="Q51" s="38"/>
      <c r="R51" s="38"/>
      <c r="S51" s="38"/>
      <c r="T51" s="38"/>
      <c r="U51" s="38" t="s">
        <v>15</v>
      </c>
      <c r="V51" s="38">
        <v>3</v>
      </c>
      <c r="W51" s="38" t="s">
        <v>11</v>
      </c>
      <c r="X51" s="38"/>
      <c r="Y51" s="38"/>
      <c r="Z51" s="40" t="s">
        <v>14</v>
      </c>
      <c r="AA51" s="39"/>
      <c r="AB51" s="38" t="s">
        <v>12</v>
      </c>
      <c r="AC51" s="38">
        <v>3</v>
      </c>
      <c r="AD51" s="38" t="s">
        <v>11</v>
      </c>
      <c r="AE51" s="38"/>
      <c r="AF51" s="38"/>
      <c r="AG51" s="38"/>
      <c r="AH51" s="38"/>
      <c r="AI51" s="38"/>
      <c r="AJ51" s="38"/>
      <c r="AK51" s="38"/>
      <c r="AL51" s="38" t="s">
        <v>15</v>
      </c>
      <c r="AM51" s="38">
        <v>2</v>
      </c>
      <c r="AN51" s="38" t="s">
        <v>11</v>
      </c>
      <c r="AO51" s="38"/>
      <c r="AP51" s="37"/>
    </row>
    <row r="52" spans="1:42" ht="20.25" customHeight="1" x14ac:dyDescent="0.15">
      <c r="A52" s="36">
        <f>$A$7+1</f>
        <v>1</v>
      </c>
      <c r="B52" s="355" t="str">
        <f>VLOOKUP($I52,[1]リスト!$C$2:$E$37,2,FALSE)</f>
        <v>10:15</v>
      </c>
      <c r="C52" s="356"/>
      <c r="D52" s="356"/>
      <c r="E52" s="359" t="s">
        <v>82</v>
      </c>
      <c r="F52" s="356" t="str">
        <f>VLOOKUP($I52,[1]リスト!$C$2:$E$37,3,FALSE)</f>
        <v>10：50</v>
      </c>
      <c r="G52" s="356"/>
      <c r="H52" s="356"/>
      <c r="I52" s="399">
        <v>27</v>
      </c>
      <c r="J52" s="35" t="e">
        <f>VLOOKUP(L51,男子A!$AW$25:$AY$27,3,FALSE)</f>
        <v>#N/A</v>
      </c>
      <c r="K52" s="406" t="str">
        <f>[1]組合せ表!J27</f>
        <v>仁多中</v>
      </c>
      <c r="L52" s="406"/>
      <c r="M52" s="406"/>
      <c r="N52" s="406"/>
      <c r="O52" s="406"/>
      <c r="P52" s="388">
        <f>IF(AND(Q52="",Q53=""),"",SUM(Q52:Q53))</f>
        <v>10</v>
      </c>
      <c r="Q52" s="72">
        <v>5</v>
      </c>
      <c r="R52" s="72">
        <v>0</v>
      </c>
      <c r="S52" s="388">
        <f>IF(AND(R52="",R53=""),"",SUM(R52:R53))</f>
        <v>0</v>
      </c>
      <c r="T52" s="33" t="e">
        <f>VLOOKUP(V51,[2]男子A!$AW$31:$AY$34,3,FALSE)</f>
        <v>#N/A</v>
      </c>
      <c r="U52" s="406" t="str">
        <f>[1]組合せ表!N27</f>
        <v>磐梨中</v>
      </c>
      <c r="V52" s="406"/>
      <c r="W52" s="406"/>
      <c r="X52" s="406"/>
      <c r="Y52" s="406"/>
      <c r="Z52" s="399">
        <v>28</v>
      </c>
      <c r="AA52" s="34" t="e">
        <f>VLOOKUP(AC51,[2]男子B!$AW$23:$AY$25,3,FALSE)</f>
        <v>#N/A</v>
      </c>
      <c r="AB52" s="406" t="str">
        <f>[1]組合せ表!R27</f>
        <v>瀬戸中</v>
      </c>
      <c r="AC52" s="406"/>
      <c r="AD52" s="406"/>
      <c r="AE52" s="406"/>
      <c r="AF52" s="406"/>
      <c r="AG52" s="388">
        <f>IF(AND(AH52="",AH53=""),"",SUM(AH52:AH53))</f>
        <v>3</v>
      </c>
      <c r="AH52" s="72">
        <v>1</v>
      </c>
      <c r="AI52" s="72">
        <v>6</v>
      </c>
      <c r="AJ52" s="388">
        <f>IF(AND(AI52="",AI53=""),"",SUM(AI52:AI53))</f>
        <v>9</v>
      </c>
      <c r="AK52" s="35" t="e">
        <f>VLOOKUP(AM51,[2]男子A!$AW$31:$AY$34,3,FALSE)</f>
        <v>#N/A</v>
      </c>
      <c r="AL52" s="406" t="str">
        <f>[1]組合せ表!V27</f>
        <v>横田中</v>
      </c>
      <c r="AM52" s="406"/>
      <c r="AN52" s="406"/>
      <c r="AO52" s="406"/>
      <c r="AP52" s="407"/>
    </row>
    <row r="53" spans="1:42" ht="20.25" customHeight="1" x14ac:dyDescent="0.15">
      <c r="A53" s="19"/>
      <c r="B53" s="355"/>
      <c r="C53" s="356"/>
      <c r="D53" s="356"/>
      <c r="E53" s="359"/>
      <c r="F53" s="356"/>
      <c r="G53" s="356"/>
      <c r="H53" s="356"/>
      <c r="I53" s="399"/>
      <c r="J53" s="32"/>
      <c r="K53" s="406"/>
      <c r="L53" s="406"/>
      <c r="M53" s="406"/>
      <c r="N53" s="406"/>
      <c r="O53" s="406"/>
      <c r="P53" s="388"/>
      <c r="Q53" s="72">
        <v>5</v>
      </c>
      <c r="R53" s="72">
        <v>0</v>
      </c>
      <c r="S53" s="388"/>
      <c r="T53" s="30"/>
      <c r="U53" s="406"/>
      <c r="V53" s="406"/>
      <c r="W53" s="406"/>
      <c r="X53" s="406"/>
      <c r="Y53" s="406"/>
      <c r="Z53" s="399"/>
      <c r="AA53" s="13"/>
      <c r="AB53" s="406"/>
      <c r="AC53" s="406"/>
      <c r="AD53" s="406"/>
      <c r="AE53" s="406"/>
      <c r="AF53" s="406"/>
      <c r="AG53" s="388"/>
      <c r="AH53" s="72">
        <v>2</v>
      </c>
      <c r="AI53" s="72">
        <v>3</v>
      </c>
      <c r="AJ53" s="388"/>
      <c r="AK53" s="30"/>
      <c r="AL53" s="406"/>
      <c r="AM53" s="406"/>
      <c r="AN53" s="406"/>
      <c r="AO53" s="406"/>
      <c r="AP53" s="407"/>
    </row>
    <row r="54" spans="1:42" ht="20.25" customHeight="1" x14ac:dyDescent="0.15">
      <c r="A54" s="19"/>
      <c r="B54" s="28"/>
      <c r="C54" s="27"/>
      <c r="D54" s="27"/>
      <c r="E54" s="27"/>
      <c r="F54" s="27"/>
      <c r="G54" s="27"/>
      <c r="H54" s="27"/>
      <c r="I54" s="25"/>
      <c r="J54" s="26"/>
      <c r="K54" s="21"/>
      <c r="L54" s="21"/>
      <c r="M54" s="21"/>
      <c r="N54" s="21"/>
      <c r="O54" s="21"/>
      <c r="P54" s="23"/>
      <c r="Q54" s="404" t="str">
        <f>IF(OR(Q52="",R52="",Q53="",R53=""),"",IF(P52=S52,$B55,""))</f>
        <v/>
      </c>
      <c r="R54" s="404"/>
      <c r="S54" s="23"/>
      <c r="T54" s="9"/>
      <c r="U54" s="21"/>
      <c r="V54" s="21"/>
      <c r="W54" s="21"/>
      <c r="X54" s="21"/>
      <c r="Y54" s="21"/>
      <c r="Z54" s="25"/>
      <c r="AA54" s="13"/>
      <c r="AB54" s="9"/>
      <c r="AC54" s="9"/>
      <c r="AD54" s="9"/>
      <c r="AE54" s="9"/>
      <c r="AF54" s="9"/>
      <c r="AG54" s="23"/>
      <c r="AH54" s="404" t="str">
        <f>IF(OR(AH52="",AI52="",AH53="",AI53=""),"",IF(AG52=AJ52,$B55,""))</f>
        <v/>
      </c>
      <c r="AI54" s="404"/>
      <c r="AJ54" s="23"/>
      <c r="AK54" s="9"/>
      <c r="AL54" s="9"/>
      <c r="AM54" s="9"/>
      <c r="AN54" s="9"/>
      <c r="AO54" s="9"/>
      <c r="AP54" s="49"/>
    </row>
    <row r="55" spans="1:42" ht="20.25" hidden="1" customHeight="1" x14ac:dyDescent="0.15">
      <c r="A55" s="19"/>
      <c r="B55" s="18" t="s">
        <v>84</v>
      </c>
      <c r="C55" s="17"/>
      <c r="D55" s="17"/>
      <c r="E55" s="17"/>
      <c r="F55" s="17"/>
      <c r="G55" s="17"/>
      <c r="H55" s="17"/>
      <c r="I55" s="48"/>
      <c r="J55" s="15"/>
      <c r="K55" s="8" t="s">
        <v>24</v>
      </c>
      <c r="L55" s="7"/>
      <c r="M55" s="7"/>
      <c r="N55" s="7"/>
      <c r="O55" s="7"/>
      <c r="P55" s="10">
        <f>SUM(P52,P54)</f>
        <v>10</v>
      </c>
      <c r="Q55" s="11"/>
      <c r="R55" s="11"/>
      <c r="S55" s="10">
        <f>SUM(S52:S54)</f>
        <v>0</v>
      </c>
      <c r="T55" s="9"/>
      <c r="U55" s="8" t="s">
        <v>23</v>
      </c>
      <c r="V55" s="7"/>
      <c r="W55" s="7"/>
      <c r="X55" s="7"/>
      <c r="Y55" s="7"/>
      <c r="Z55" s="48"/>
      <c r="AA55" s="13"/>
      <c r="AB55" s="45" t="s">
        <v>22</v>
      </c>
      <c r="AC55" s="27"/>
      <c r="AD55" s="27"/>
      <c r="AE55" s="27"/>
      <c r="AF55" s="27"/>
      <c r="AG55" s="62">
        <f>SUM(AG52,AG54)</f>
        <v>3</v>
      </c>
      <c r="AH55" s="63"/>
      <c r="AI55" s="63"/>
      <c r="AJ55" s="62">
        <f>SUM(AJ52:AJ54)</f>
        <v>9</v>
      </c>
      <c r="AK55" s="9"/>
      <c r="AL55" s="45" t="s">
        <v>21</v>
      </c>
      <c r="AM55" s="27"/>
      <c r="AN55" s="27"/>
      <c r="AO55" s="27"/>
      <c r="AP55" s="44"/>
    </row>
    <row r="56" spans="1:42" s="3" customFormat="1" ht="20.25" customHeight="1" x14ac:dyDescent="0.15">
      <c r="A56" s="71"/>
      <c r="B56" s="353" t="s">
        <v>20</v>
      </c>
      <c r="C56" s="354"/>
      <c r="D56" s="354"/>
      <c r="E56" s="354"/>
      <c r="F56" s="354"/>
      <c r="G56" s="354"/>
      <c r="H56" s="354"/>
      <c r="I56" s="51" t="s">
        <v>8</v>
      </c>
      <c r="J56" s="42"/>
      <c r="K56" s="50" t="s">
        <v>19</v>
      </c>
      <c r="L56" s="38">
        <v>1</v>
      </c>
      <c r="M56" s="38" t="s">
        <v>11</v>
      </c>
      <c r="N56" s="38"/>
      <c r="O56" s="38"/>
      <c r="P56" s="38"/>
      <c r="Q56" s="38"/>
      <c r="R56" s="38"/>
      <c r="S56" s="38"/>
      <c r="T56" s="38"/>
      <c r="U56" s="38">
        <v>25</v>
      </c>
      <c r="V56" s="38" t="s">
        <v>13</v>
      </c>
      <c r="W56" s="38"/>
      <c r="X56" s="38"/>
      <c r="Y56" s="38"/>
      <c r="Z56" s="51" t="s">
        <v>18</v>
      </c>
      <c r="AA56" s="39"/>
      <c r="AB56" s="50">
        <v>26</v>
      </c>
      <c r="AC56" s="38" t="s">
        <v>13</v>
      </c>
      <c r="AD56" s="38"/>
      <c r="AE56" s="38"/>
      <c r="AF56" s="38"/>
      <c r="AG56" s="38"/>
      <c r="AH56" s="38"/>
      <c r="AI56" s="38"/>
      <c r="AJ56" s="38"/>
      <c r="AK56" s="38"/>
      <c r="AL56" s="38" t="s">
        <v>17</v>
      </c>
      <c r="AM56" s="38">
        <v>1</v>
      </c>
      <c r="AN56" s="38" t="s">
        <v>11</v>
      </c>
      <c r="AO56" s="38"/>
      <c r="AP56" s="37"/>
    </row>
    <row r="57" spans="1:42" ht="20.25" customHeight="1" x14ac:dyDescent="0.15">
      <c r="A57" s="70">
        <f>$A$9+2</f>
        <v>43674</v>
      </c>
      <c r="B57" s="355" t="str">
        <f>VLOOKUP($I57,[1]リスト!$C$2:$E$37,2,FALSE)</f>
        <v>11：05</v>
      </c>
      <c r="C57" s="356"/>
      <c r="D57" s="356"/>
      <c r="E57" s="359" t="s">
        <v>7</v>
      </c>
      <c r="F57" s="356" t="str">
        <f>VLOOKUP($I57,[1]リスト!$C$2:$E$37,3,FALSE)</f>
        <v>11：40</v>
      </c>
      <c r="G57" s="356"/>
      <c r="H57" s="356"/>
      <c r="I57" s="399">
        <v>29</v>
      </c>
      <c r="J57" s="35" t="e">
        <f>VLOOKUP(L56,#REF!,3,FALSE)</f>
        <v>#REF!</v>
      </c>
      <c r="K57" s="402" t="str">
        <f>[1]組合せ表!D57</f>
        <v>玖珂中</v>
      </c>
      <c r="L57" s="402"/>
      <c r="M57" s="402"/>
      <c r="N57" s="402"/>
      <c r="O57" s="402"/>
      <c r="P57" s="382">
        <f>IF(AND(Q57="",Q58=""),"",SUM(Q57:Q58))</f>
        <v>4</v>
      </c>
      <c r="Q57" s="31">
        <v>2</v>
      </c>
      <c r="R57" s="31">
        <v>1</v>
      </c>
      <c r="S57" s="382">
        <f>IF(AND(R57="",R58=""),"",SUM(R57:R58))</f>
        <v>1</v>
      </c>
      <c r="T57" s="33" t="e">
        <f>IF(AG50&gt;AJ50,AA47,AK47)</f>
        <v>#N/A</v>
      </c>
      <c r="U57" s="402" t="str">
        <f>IF(OR(P50="",S50=""),"",IF(P47&gt;S47,K47,U47))</f>
        <v>磐梨中</v>
      </c>
      <c r="V57" s="402"/>
      <c r="W57" s="402"/>
      <c r="X57" s="402"/>
      <c r="Y57" s="402"/>
      <c r="Z57" s="399">
        <v>30</v>
      </c>
      <c r="AA57" s="34" t="e">
        <f>IF(P50&gt;S50,J47,T47)</f>
        <v>#N/A</v>
      </c>
      <c r="AB57" s="402" t="str">
        <f>IF(OR(AG50="",AJ50=""),"",IF(AG47&gt;AJ47,AB47,AL47))</f>
        <v>八頭中</v>
      </c>
      <c r="AC57" s="402"/>
      <c r="AD57" s="402"/>
      <c r="AE57" s="402"/>
      <c r="AF57" s="402"/>
      <c r="AG57" s="382">
        <f>IF(AND(AH57="",AH58=""),"",SUM(AH57:AH58))</f>
        <v>0</v>
      </c>
      <c r="AH57" s="31">
        <v>0</v>
      </c>
      <c r="AI57" s="31">
        <v>1</v>
      </c>
      <c r="AJ57" s="382">
        <f>IF(AND(AI57="",AI58=""),"",SUM(AI57:AI58))</f>
        <v>5</v>
      </c>
      <c r="AK57" s="33" t="e">
        <f>VLOOKUP(AM56,[2]女子b!$AW$31:$AY$34,3,FALSE)</f>
        <v>#N/A</v>
      </c>
      <c r="AL57" s="402" t="str">
        <f>[1]組合せ表!AB57</f>
        <v>横田中</v>
      </c>
      <c r="AM57" s="402"/>
      <c r="AN57" s="402"/>
      <c r="AO57" s="402"/>
      <c r="AP57" s="403"/>
    </row>
    <row r="58" spans="1:42" ht="20.25" customHeight="1" x14ac:dyDescent="0.15">
      <c r="A58" s="69">
        <f>A57</f>
        <v>43674</v>
      </c>
      <c r="B58" s="355"/>
      <c r="C58" s="356"/>
      <c r="D58" s="356"/>
      <c r="E58" s="359"/>
      <c r="F58" s="356"/>
      <c r="G58" s="356"/>
      <c r="H58" s="356"/>
      <c r="I58" s="399"/>
      <c r="J58" s="32"/>
      <c r="K58" s="402"/>
      <c r="L58" s="402"/>
      <c r="M58" s="402"/>
      <c r="N58" s="402"/>
      <c r="O58" s="402"/>
      <c r="P58" s="382"/>
      <c r="Q58" s="31">
        <v>2</v>
      </c>
      <c r="R58" s="31">
        <v>0</v>
      </c>
      <c r="S58" s="382"/>
      <c r="T58" s="30"/>
      <c r="U58" s="402"/>
      <c r="V58" s="402"/>
      <c r="W58" s="402"/>
      <c r="X58" s="402"/>
      <c r="Y58" s="402"/>
      <c r="Z58" s="399"/>
      <c r="AA58" s="13"/>
      <c r="AB58" s="402"/>
      <c r="AC58" s="402"/>
      <c r="AD58" s="402"/>
      <c r="AE58" s="402"/>
      <c r="AF58" s="402"/>
      <c r="AG58" s="382"/>
      <c r="AH58" s="31">
        <v>0</v>
      </c>
      <c r="AI58" s="31">
        <v>4</v>
      </c>
      <c r="AJ58" s="382"/>
      <c r="AK58" s="30"/>
      <c r="AL58" s="402"/>
      <c r="AM58" s="402"/>
      <c r="AN58" s="402"/>
      <c r="AO58" s="402"/>
      <c r="AP58" s="403"/>
    </row>
    <row r="59" spans="1:42" ht="20.25" customHeight="1" x14ac:dyDescent="0.2">
      <c r="A59" s="68"/>
      <c r="B59" s="28"/>
      <c r="C59" s="27"/>
      <c r="D59" s="27"/>
      <c r="E59" s="27"/>
      <c r="F59" s="27"/>
      <c r="G59" s="27"/>
      <c r="H59" s="27"/>
      <c r="I59" s="25"/>
      <c r="J59" s="26"/>
      <c r="K59" s="9"/>
      <c r="L59" s="9"/>
      <c r="M59" s="9"/>
      <c r="N59" s="9"/>
      <c r="O59" s="9"/>
      <c r="P59" s="23"/>
      <c r="Q59" s="404" t="str">
        <f>IF(OR(Q57="",R57="",Q58="",R58=""),"",IF(P57=S57,$B60,""))</f>
        <v/>
      </c>
      <c r="R59" s="404"/>
      <c r="S59" s="23"/>
      <c r="T59" s="9"/>
      <c r="U59" s="9"/>
      <c r="V59" s="9"/>
      <c r="W59" s="9"/>
      <c r="X59" s="9"/>
      <c r="Y59" s="9"/>
      <c r="Z59" s="25"/>
      <c r="AA59" s="13"/>
      <c r="AB59" s="9"/>
      <c r="AC59" s="9"/>
      <c r="AD59" s="9"/>
      <c r="AE59" s="9"/>
      <c r="AF59" s="9"/>
      <c r="AG59" s="23"/>
      <c r="AH59" s="404" t="str">
        <f>IF(OR(AH57="",AI57="",AH58="",AI58=""),"",IF(AG57=AJ57,$B60,""))</f>
        <v/>
      </c>
      <c r="AI59" s="404"/>
      <c r="AJ59" s="23"/>
      <c r="AK59" s="9"/>
      <c r="AL59" s="9"/>
      <c r="AM59" s="9"/>
      <c r="AN59" s="9"/>
      <c r="AO59" s="9"/>
      <c r="AP59" s="49"/>
    </row>
    <row r="60" spans="1:42" ht="20.25" hidden="1" customHeight="1" x14ac:dyDescent="0.15">
      <c r="A60" s="67"/>
      <c r="B60" s="18" t="s">
        <v>0</v>
      </c>
      <c r="C60" s="17"/>
      <c r="D60" s="17"/>
      <c r="E60" s="17"/>
      <c r="F60" s="17"/>
      <c r="G60" s="17"/>
      <c r="H60" s="17"/>
      <c r="I60" s="48"/>
      <c r="J60" s="15"/>
      <c r="K60" s="45"/>
      <c r="L60" s="27"/>
      <c r="M60" s="27"/>
      <c r="N60" s="27"/>
      <c r="O60" s="27"/>
      <c r="P60" s="62">
        <f>SUM(P57,P59)</f>
        <v>4</v>
      </c>
      <c r="Q60" s="63"/>
      <c r="R60" s="63"/>
      <c r="S60" s="62">
        <f>SUM(S57:S59)</f>
        <v>1</v>
      </c>
      <c r="T60" s="9"/>
      <c r="U60" s="45"/>
      <c r="V60" s="27"/>
      <c r="W60" s="27"/>
      <c r="X60" s="27"/>
      <c r="Y60" s="27"/>
      <c r="Z60" s="48"/>
      <c r="AA60" s="13"/>
      <c r="AB60" s="45"/>
      <c r="AC60" s="27"/>
      <c r="AD60" s="27"/>
      <c r="AE60" s="27"/>
      <c r="AF60" s="27"/>
      <c r="AG60" s="62">
        <f>SUM(AG57,AG59)</f>
        <v>0</v>
      </c>
      <c r="AH60" s="63"/>
      <c r="AI60" s="63"/>
      <c r="AJ60" s="62">
        <f>SUM(AJ57:AJ59)</f>
        <v>5</v>
      </c>
      <c r="AK60" s="9"/>
      <c r="AL60" s="45"/>
      <c r="AM60" s="27"/>
      <c r="AN60" s="27"/>
      <c r="AO60" s="27"/>
      <c r="AP60" s="44"/>
    </row>
    <row r="61" spans="1:42" s="3" customFormat="1" ht="20.25" customHeight="1" x14ac:dyDescent="0.15">
      <c r="A61" s="66"/>
      <c r="B61" s="353" t="s">
        <v>16</v>
      </c>
      <c r="C61" s="354"/>
      <c r="D61" s="354"/>
      <c r="E61" s="354"/>
      <c r="F61" s="354"/>
      <c r="G61" s="354"/>
      <c r="H61" s="354"/>
      <c r="I61" s="40" t="s">
        <v>3</v>
      </c>
      <c r="J61" s="42"/>
      <c r="K61" s="38" t="s">
        <v>15</v>
      </c>
      <c r="L61" s="38">
        <v>1</v>
      </c>
      <c r="M61" s="38" t="s">
        <v>11</v>
      </c>
      <c r="N61" s="38"/>
      <c r="O61" s="38"/>
      <c r="P61" s="41"/>
      <c r="Q61" s="38"/>
      <c r="R61" s="38"/>
      <c r="S61" s="38"/>
      <c r="T61" s="38"/>
      <c r="U61" s="38">
        <v>27</v>
      </c>
      <c r="V61" s="38" t="s">
        <v>13</v>
      </c>
      <c r="W61" s="38"/>
      <c r="X61" s="38"/>
      <c r="Y61" s="38"/>
      <c r="Z61" s="40" t="s">
        <v>14</v>
      </c>
      <c r="AA61" s="39"/>
      <c r="AB61" s="38">
        <v>28</v>
      </c>
      <c r="AC61" s="38" t="s">
        <v>13</v>
      </c>
      <c r="AD61" s="38"/>
      <c r="AE61" s="38"/>
      <c r="AF61" s="38"/>
      <c r="AG61" s="38"/>
      <c r="AH61" s="38"/>
      <c r="AI61" s="38"/>
      <c r="AJ61" s="38"/>
      <c r="AK61" s="38"/>
      <c r="AL61" s="38" t="s">
        <v>12</v>
      </c>
      <c r="AM61" s="38">
        <v>1</v>
      </c>
      <c r="AN61" s="38" t="s">
        <v>11</v>
      </c>
      <c r="AO61" s="38"/>
      <c r="AP61" s="37"/>
    </row>
    <row r="62" spans="1:42" ht="20.25" customHeight="1" x14ac:dyDescent="0.15">
      <c r="A62" s="36">
        <f>$A$7+1</f>
        <v>1</v>
      </c>
      <c r="B62" s="355" t="str">
        <f>VLOOKUP($I62,[1]リスト!$C$2:$E$37,2,FALSE)</f>
        <v>11：50</v>
      </c>
      <c r="C62" s="356"/>
      <c r="D62" s="356"/>
      <c r="E62" s="359" t="s">
        <v>7</v>
      </c>
      <c r="F62" s="356" t="str">
        <f>VLOOKUP($I62,[1]リスト!$C$2:$E$37,3,FALSE)</f>
        <v>12：25</v>
      </c>
      <c r="G62" s="356"/>
      <c r="H62" s="356"/>
      <c r="I62" s="399">
        <v>31</v>
      </c>
      <c r="J62" s="35" t="str">
        <f>VLOOKUP(L61,男子B!$AW$31:$AY$34,3,FALSE)</f>
        <v>B7</v>
      </c>
      <c r="K62" s="402" t="str">
        <f>[1]組合せ表!D27</f>
        <v>八頭中</v>
      </c>
      <c r="L62" s="402"/>
      <c r="M62" s="402"/>
      <c r="N62" s="402"/>
      <c r="O62" s="402"/>
      <c r="P62" s="382">
        <f>IF(AND(Q62="",Q63=""),"",SUM(Q62:Q63))</f>
        <v>1</v>
      </c>
      <c r="Q62" s="31">
        <v>0</v>
      </c>
      <c r="R62" s="31">
        <v>0</v>
      </c>
      <c r="S62" s="382">
        <f>IF(AND(R62="",R63=""),"",SUM(R62:R63))</f>
        <v>1</v>
      </c>
      <c r="T62" s="33" t="e">
        <f>IF(AG55&gt;AJ55,AA52,AK52)</f>
        <v>#N/A</v>
      </c>
      <c r="U62" s="402" t="str">
        <f>IF(OR(P55="",S55=""),"",IF(P52&gt;S52,K52,U52))</f>
        <v>仁多中</v>
      </c>
      <c r="V62" s="402"/>
      <c r="W62" s="402"/>
      <c r="X62" s="402"/>
      <c r="Y62" s="402"/>
      <c r="Z62" s="399">
        <v>32</v>
      </c>
      <c r="AA62" s="34" t="e">
        <f>IF(P55&gt;S55,J52,T52)</f>
        <v>#N/A</v>
      </c>
      <c r="AB62" s="402" t="str">
        <f>IF(OR(AG55="",AJ55=""),"",IF(AG52&gt;AJ52,AB52,AL52))</f>
        <v>横田中</v>
      </c>
      <c r="AC62" s="402"/>
      <c r="AD62" s="402"/>
      <c r="AE62" s="402"/>
      <c r="AF62" s="402"/>
      <c r="AG62" s="382">
        <f>IF(AND(AH62="",AH63=""),"",SUM(AH62:AH63))</f>
        <v>6</v>
      </c>
      <c r="AH62" s="31">
        <v>4</v>
      </c>
      <c r="AI62" s="31">
        <v>1</v>
      </c>
      <c r="AJ62" s="382">
        <f>IF(AND(AI62="",AI63=""),"",SUM(AI62:AI63))</f>
        <v>2</v>
      </c>
      <c r="AK62" s="33" t="e">
        <f>VLOOKUP(AM61,[2]男子B!$AW$23:$AY$25,3,FALSE)</f>
        <v>#N/A</v>
      </c>
      <c r="AL62" s="402" t="str">
        <f>[1]組合せ表!AB27</f>
        <v>玖珂中</v>
      </c>
      <c r="AM62" s="402"/>
      <c r="AN62" s="402"/>
      <c r="AO62" s="402"/>
      <c r="AP62" s="403"/>
    </row>
    <row r="63" spans="1:42" ht="20.25" customHeight="1" x14ac:dyDescent="0.15">
      <c r="A63" s="19"/>
      <c r="B63" s="355"/>
      <c r="C63" s="356"/>
      <c r="D63" s="356"/>
      <c r="E63" s="359"/>
      <c r="F63" s="356"/>
      <c r="G63" s="356"/>
      <c r="H63" s="356"/>
      <c r="I63" s="399"/>
      <c r="J63" s="32"/>
      <c r="K63" s="402"/>
      <c r="L63" s="402"/>
      <c r="M63" s="402"/>
      <c r="N63" s="402"/>
      <c r="O63" s="402"/>
      <c r="P63" s="382"/>
      <c r="Q63" s="31">
        <v>1</v>
      </c>
      <c r="R63" s="31">
        <v>1</v>
      </c>
      <c r="S63" s="382"/>
      <c r="T63" s="30"/>
      <c r="U63" s="402"/>
      <c r="V63" s="402"/>
      <c r="W63" s="402"/>
      <c r="X63" s="402"/>
      <c r="Y63" s="402"/>
      <c r="Z63" s="399"/>
      <c r="AA63" s="13"/>
      <c r="AB63" s="402"/>
      <c r="AC63" s="402"/>
      <c r="AD63" s="402"/>
      <c r="AE63" s="402"/>
      <c r="AF63" s="402"/>
      <c r="AG63" s="382"/>
      <c r="AH63" s="31">
        <v>2</v>
      </c>
      <c r="AI63" s="31">
        <v>1</v>
      </c>
      <c r="AJ63" s="382"/>
      <c r="AK63" s="30"/>
      <c r="AL63" s="402"/>
      <c r="AM63" s="402"/>
      <c r="AN63" s="402"/>
      <c r="AO63" s="402"/>
      <c r="AP63" s="403"/>
    </row>
    <row r="64" spans="1:42" ht="20.25" customHeight="1" x14ac:dyDescent="0.15">
      <c r="A64" s="19"/>
      <c r="B64" s="28"/>
      <c r="C64" s="27"/>
      <c r="D64" s="27"/>
      <c r="E64" s="27"/>
      <c r="F64" s="27"/>
      <c r="G64" s="27"/>
      <c r="H64" s="27"/>
      <c r="I64" s="25"/>
      <c r="J64" s="26"/>
      <c r="K64" s="9"/>
      <c r="L64" s="9"/>
      <c r="M64" s="9"/>
      <c r="N64" s="9"/>
      <c r="O64" s="9"/>
      <c r="P64" s="23">
        <v>1</v>
      </c>
      <c r="Q64" s="404" t="str">
        <f>IF(OR(Q62="",R62="",Q63="",R63=""),"",IF(P62=S62,$B65,""))</f>
        <v>SO</v>
      </c>
      <c r="R64" s="404"/>
      <c r="S64" s="23">
        <v>3</v>
      </c>
      <c r="T64" s="9"/>
      <c r="U64" s="9"/>
      <c r="V64" s="9"/>
      <c r="W64" s="9"/>
      <c r="X64" s="9"/>
      <c r="Y64" s="9"/>
      <c r="Z64" s="25"/>
      <c r="AA64" s="13"/>
      <c r="AB64" s="9"/>
      <c r="AC64" s="9"/>
      <c r="AD64" s="9"/>
      <c r="AE64" s="9"/>
      <c r="AF64" s="9"/>
      <c r="AG64" s="23"/>
      <c r="AH64" s="404" t="str">
        <f>IF(OR(AH62="",AI62="",AH63="",AI63=""),"",IF(AG62=AJ62,$B65,""))</f>
        <v/>
      </c>
      <c r="AI64" s="404"/>
      <c r="AJ64" s="23"/>
      <c r="AK64" s="9"/>
      <c r="AL64" s="9"/>
      <c r="AM64" s="9"/>
      <c r="AN64" s="9"/>
      <c r="AO64" s="9"/>
      <c r="AP64" s="49"/>
    </row>
    <row r="65" spans="1:43" ht="20.25" hidden="1" customHeight="1" x14ac:dyDescent="0.15">
      <c r="A65" s="19"/>
      <c r="B65" s="18" t="s">
        <v>0</v>
      </c>
      <c r="C65" s="17"/>
      <c r="D65" s="17"/>
      <c r="E65" s="17"/>
      <c r="F65" s="17"/>
      <c r="G65" s="17"/>
      <c r="H65" s="17"/>
      <c r="I65" s="65"/>
      <c r="J65" s="15"/>
      <c r="K65" s="45"/>
      <c r="L65" s="27"/>
      <c r="M65" s="27"/>
      <c r="N65" s="27"/>
      <c r="O65" s="27"/>
      <c r="P65" s="62">
        <f>SUM(P62,P64)</f>
        <v>2</v>
      </c>
      <c r="Q65" s="63">
        <f>SUM(Q62:Q63)</f>
        <v>1</v>
      </c>
      <c r="R65" s="63">
        <f>SUM(R62:R63)</f>
        <v>1</v>
      </c>
      <c r="S65" s="62">
        <f>SUM(S62:S64)</f>
        <v>4</v>
      </c>
      <c r="T65" s="9"/>
      <c r="U65" s="45"/>
      <c r="V65" s="27"/>
      <c r="W65" s="27"/>
      <c r="X65" s="27"/>
      <c r="Y65" s="27"/>
      <c r="Z65" s="48"/>
      <c r="AA65" s="13"/>
      <c r="AB65" s="64"/>
      <c r="AC65" s="27"/>
      <c r="AD65" s="27"/>
      <c r="AE65" s="27"/>
      <c r="AF65" s="27"/>
      <c r="AG65" s="62">
        <f>SUM(AG62,AG64)</f>
        <v>6</v>
      </c>
      <c r="AH65" s="63">
        <f>SUM(AH62:AH63)</f>
        <v>6</v>
      </c>
      <c r="AI65" s="63">
        <f>SUM(AI62:AI63)</f>
        <v>2</v>
      </c>
      <c r="AJ65" s="62">
        <f>SUM(AJ62:AJ64)</f>
        <v>2</v>
      </c>
      <c r="AK65" s="9"/>
      <c r="AL65" s="45"/>
      <c r="AM65" s="27"/>
      <c r="AN65" s="27"/>
      <c r="AO65" s="27"/>
      <c r="AP65" s="44"/>
    </row>
    <row r="66" spans="1:43" s="3" customFormat="1" ht="27" customHeight="1" x14ac:dyDescent="0.15">
      <c r="A66" s="61"/>
      <c r="B66" s="397"/>
      <c r="C66" s="398"/>
      <c r="D66" s="398"/>
      <c r="E66" s="398"/>
      <c r="F66" s="398"/>
      <c r="G66" s="398"/>
      <c r="H66" s="398"/>
      <c r="I66" s="60"/>
      <c r="J66" s="59"/>
      <c r="K66" s="54"/>
      <c r="L66" s="54"/>
      <c r="M66" s="54"/>
      <c r="N66" s="54"/>
      <c r="O66" s="54"/>
      <c r="P66" s="56"/>
      <c r="Q66" s="408" t="s">
        <v>10</v>
      </c>
      <c r="R66" s="408"/>
      <c r="S66" s="56"/>
      <c r="T66" s="55"/>
      <c r="U66" s="54"/>
      <c r="V66" s="54"/>
      <c r="W66" s="54"/>
      <c r="X66" s="54"/>
      <c r="Y66" s="54"/>
      <c r="Z66" s="58"/>
      <c r="AA66" s="57"/>
      <c r="AB66" s="54"/>
      <c r="AC66" s="54"/>
      <c r="AD66" s="54"/>
      <c r="AE66" s="54"/>
      <c r="AF66" s="54"/>
      <c r="AG66" s="56"/>
      <c r="AH66" s="408" t="s">
        <v>10</v>
      </c>
      <c r="AI66" s="408"/>
      <c r="AJ66" s="56"/>
      <c r="AK66" s="55"/>
      <c r="AL66" s="54"/>
      <c r="AM66" s="54"/>
      <c r="AN66" s="54"/>
      <c r="AO66" s="54"/>
      <c r="AP66" s="53"/>
      <c r="AQ66" s="52"/>
    </row>
    <row r="67" spans="1:43" s="3" customFormat="1" ht="20.25" customHeight="1" x14ac:dyDescent="0.15">
      <c r="A67" s="43" t="str">
        <f>IF(A49="","",A49+1)</f>
        <v/>
      </c>
      <c r="B67" s="353" t="s">
        <v>9</v>
      </c>
      <c r="C67" s="354"/>
      <c r="D67" s="354"/>
      <c r="E67" s="354"/>
      <c r="F67" s="354"/>
      <c r="G67" s="354"/>
      <c r="H67" s="354"/>
      <c r="I67" s="51" t="s">
        <v>8</v>
      </c>
      <c r="J67" s="42"/>
      <c r="K67" s="50">
        <v>29</v>
      </c>
      <c r="L67" s="38" t="s">
        <v>4</v>
      </c>
      <c r="M67" s="38"/>
      <c r="N67" s="38"/>
      <c r="O67" s="38" t="s">
        <v>5</v>
      </c>
      <c r="P67" s="38"/>
      <c r="Q67" s="38"/>
      <c r="R67" s="38"/>
      <c r="S67" s="38"/>
      <c r="T67" s="38"/>
      <c r="U67" s="38"/>
      <c r="V67" s="38">
        <v>30</v>
      </c>
      <c r="W67" s="38" t="s">
        <v>4</v>
      </c>
      <c r="X67" s="38"/>
      <c r="Y67" s="38"/>
      <c r="Z67" s="51" t="s">
        <v>8</v>
      </c>
      <c r="AA67" s="39"/>
      <c r="AB67" s="50">
        <v>29</v>
      </c>
      <c r="AC67" s="38" t="s">
        <v>1</v>
      </c>
      <c r="AD67" s="38"/>
      <c r="AE67" s="38"/>
      <c r="AF67" s="38" t="s">
        <v>2</v>
      </c>
      <c r="AG67" s="38"/>
      <c r="AH67" s="38"/>
      <c r="AI67" s="38"/>
      <c r="AJ67" s="38"/>
      <c r="AK67" s="38"/>
      <c r="AL67" s="38"/>
      <c r="AM67" s="38">
        <v>30</v>
      </c>
      <c r="AN67" s="38" t="s">
        <v>1</v>
      </c>
      <c r="AO67" s="38"/>
      <c r="AP67" s="37"/>
    </row>
    <row r="68" spans="1:43" ht="20.25" customHeight="1" x14ac:dyDescent="0.15">
      <c r="A68" s="36">
        <f>$A$7+1</f>
        <v>1</v>
      </c>
      <c r="B68" s="355" t="str">
        <f>VLOOKUP($I68,[1]リスト!$C$2:$E$37,2,FALSE)</f>
        <v>13：20</v>
      </c>
      <c r="C68" s="356"/>
      <c r="D68" s="356"/>
      <c r="E68" s="359" t="s">
        <v>85</v>
      </c>
      <c r="F68" s="356" t="str">
        <f>VLOOKUP($I68,[1]リスト!$C$2:$E$37,3,FALSE)</f>
        <v>13：55</v>
      </c>
      <c r="G68" s="356"/>
      <c r="H68" s="356"/>
      <c r="I68" s="399">
        <v>33</v>
      </c>
      <c r="J68" s="35" t="e">
        <f>IF(P60&gt;S60,J57,T57)</f>
        <v>#REF!</v>
      </c>
      <c r="K68" s="402" t="str">
        <f>IF(OR(P57="",S57=""),"",IF(P60&gt;S60,K57,U57))</f>
        <v>玖珂中</v>
      </c>
      <c r="L68" s="402"/>
      <c r="M68" s="402"/>
      <c r="N68" s="402"/>
      <c r="O68" s="402"/>
      <c r="P68" s="382">
        <f>IF(AND(Q68="",Q69=""),"",SUM(Q68:Q69))</f>
        <v>1</v>
      </c>
      <c r="Q68" s="31">
        <v>0</v>
      </c>
      <c r="R68" s="31">
        <v>3</v>
      </c>
      <c r="S68" s="382">
        <f>IF(AND(R68="",R69=""),"",SUM(R68:R69))</f>
        <v>4</v>
      </c>
      <c r="T68" s="33" t="e">
        <f>IF(AG60&gt;AJ60,AA57,AK57)</f>
        <v>#N/A</v>
      </c>
      <c r="U68" s="402" t="str">
        <f>IF(OR(AG57="",AJ57=""),"",IF(AG60&gt;AJ60,AB57,AL57))</f>
        <v>横田中</v>
      </c>
      <c r="V68" s="402"/>
      <c r="W68" s="402"/>
      <c r="X68" s="402"/>
      <c r="Y68" s="402"/>
      <c r="Z68" s="399">
        <v>34</v>
      </c>
      <c r="AA68" s="34" t="e">
        <f>IF(P60&lt;S60,J57,T57)</f>
        <v>#N/A</v>
      </c>
      <c r="AB68" s="402" t="str">
        <f>IF(OR(P57="",S57=""),"",IF(P60&lt;S60,K57,U57))</f>
        <v>磐梨中</v>
      </c>
      <c r="AC68" s="402"/>
      <c r="AD68" s="402"/>
      <c r="AE68" s="402"/>
      <c r="AF68" s="402"/>
      <c r="AG68" s="382">
        <f>IF(AND(AH68="",AH69=""),"",SUM(AH68:AH69))</f>
        <v>1</v>
      </c>
      <c r="AH68" s="31">
        <v>1</v>
      </c>
      <c r="AI68" s="31">
        <v>0</v>
      </c>
      <c r="AJ68" s="382">
        <f>IF(AND(AI68="",AI69=""),"",SUM(AI68:AI69))</f>
        <v>2</v>
      </c>
      <c r="AK68" s="33" t="e">
        <f>IF(AG60&lt;AJ60,AA57,AK57)</f>
        <v>#N/A</v>
      </c>
      <c r="AL68" s="402" t="str">
        <f>IF(OR(AG57="",AJ57=""),"",IF(AG60&lt;AJ60,AB57,AL57))</f>
        <v>八頭中</v>
      </c>
      <c r="AM68" s="402"/>
      <c r="AN68" s="402"/>
      <c r="AO68" s="402"/>
      <c r="AP68" s="403"/>
    </row>
    <row r="69" spans="1:43" ht="20.25" customHeight="1" x14ac:dyDescent="0.15">
      <c r="A69" s="19"/>
      <c r="B69" s="355"/>
      <c r="C69" s="356"/>
      <c r="D69" s="356"/>
      <c r="E69" s="359"/>
      <c r="F69" s="356"/>
      <c r="G69" s="356"/>
      <c r="H69" s="356"/>
      <c r="I69" s="399"/>
      <c r="J69" s="32"/>
      <c r="K69" s="402"/>
      <c r="L69" s="402"/>
      <c r="M69" s="402"/>
      <c r="N69" s="402"/>
      <c r="O69" s="402"/>
      <c r="P69" s="382"/>
      <c r="Q69" s="31">
        <v>1</v>
      </c>
      <c r="R69" s="31">
        <v>1</v>
      </c>
      <c r="S69" s="382"/>
      <c r="T69" s="30"/>
      <c r="U69" s="402"/>
      <c r="V69" s="402"/>
      <c r="W69" s="402"/>
      <c r="X69" s="402"/>
      <c r="Y69" s="402"/>
      <c r="Z69" s="399"/>
      <c r="AA69" s="13"/>
      <c r="AB69" s="402"/>
      <c r="AC69" s="402"/>
      <c r="AD69" s="402"/>
      <c r="AE69" s="402"/>
      <c r="AF69" s="402"/>
      <c r="AG69" s="382"/>
      <c r="AH69" s="31">
        <v>0</v>
      </c>
      <c r="AI69" s="31">
        <v>2</v>
      </c>
      <c r="AJ69" s="382"/>
      <c r="AK69" s="30"/>
      <c r="AL69" s="402"/>
      <c r="AM69" s="402"/>
      <c r="AN69" s="402"/>
      <c r="AO69" s="402"/>
      <c r="AP69" s="403"/>
    </row>
    <row r="70" spans="1:43" ht="20.25" customHeight="1" x14ac:dyDescent="0.15">
      <c r="A70" s="19"/>
      <c r="B70" s="28"/>
      <c r="C70" s="27"/>
      <c r="D70" s="27"/>
      <c r="E70" s="27"/>
      <c r="F70" s="27"/>
      <c r="G70" s="27"/>
      <c r="H70" s="27"/>
      <c r="I70" s="25"/>
      <c r="J70" s="26"/>
      <c r="K70" s="9"/>
      <c r="L70" s="9"/>
      <c r="M70" s="9"/>
      <c r="N70" s="9"/>
      <c r="O70" s="9"/>
      <c r="P70" s="23"/>
      <c r="Q70" s="404" t="str">
        <f>IF(OR(Q68="",R68="",Q69="",R69=""),"",IF(P68=S68,$B71,""))</f>
        <v/>
      </c>
      <c r="R70" s="404"/>
      <c r="S70" s="23"/>
      <c r="T70" s="9"/>
      <c r="U70" s="9"/>
      <c r="V70" s="9"/>
      <c r="W70" s="9"/>
      <c r="X70" s="9"/>
      <c r="Y70" s="9"/>
      <c r="Z70" s="25"/>
      <c r="AA70" s="13"/>
      <c r="AB70" s="9"/>
      <c r="AC70" s="9"/>
      <c r="AD70" s="9"/>
      <c r="AE70" s="9"/>
      <c r="AF70" s="9"/>
      <c r="AG70" s="23"/>
      <c r="AH70" s="404" t="str">
        <f>IF(OR(AH68="",AI68="",AH69="",AI69=""),"",IF(AG68=AJ68,$B71,""))</f>
        <v/>
      </c>
      <c r="AI70" s="404"/>
      <c r="AJ70" s="23"/>
      <c r="AK70" s="9"/>
      <c r="AL70" s="9"/>
      <c r="AM70" s="9"/>
      <c r="AN70" s="9"/>
      <c r="AO70" s="9"/>
      <c r="AP70" s="49"/>
    </row>
    <row r="71" spans="1:43" ht="20.25" hidden="1" customHeight="1" x14ac:dyDescent="0.15">
      <c r="A71" s="19"/>
      <c r="B71" s="18" t="s">
        <v>0</v>
      </c>
      <c r="C71" s="17"/>
      <c r="D71" s="17"/>
      <c r="E71" s="17"/>
      <c r="F71" s="17"/>
      <c r="G71" s="17"/>
      <c r="H71" s="17"/>
      <c r="I71" s="48"/>
      <c r="J71" s="15"/>
      <c r="K71" s="45"/>
      <c r="L71" s="27"/>
      <c r="M71" s="27"/>
      <c r="N71" s="27"/>
      <c r="O71" s="27"/>
      <c r="P71" s="46">
        <f>SUM(P68,P70)</f>
        <v>1</v>
      </c>
      <c r="Q71" s="47">
        <f>SUM(Q68:Q69)</f>
        <v>1</v>
      </c>
      <c r="R71" s="47">
        <f>SUM(R68:R69)</f>
        <v>4</v>
      </c>
      <c r="S71" s="46">
        <f>SUM(S68,S70)</f>
        <v>4</v>
      </c>
      <c r="T71" s="9"/>
      <c r="U71" s="45"/>
      <c r="V71" s="27"/>
      <c r="W71" s="27"/>
      <c r="X71" s="27"/>
      <c r="Y71" s="27"/>
      <c r="Z71" s="48"/>
      <c r="AA71" s="13"/>
      <c r="AB71" s="45"/>
      <c r="AC71" s="27"/>
      <c r="AD71" s="27"/>
      <c r="AE71" s="27"/>
      <c r="AF71" s="27"/>
      <c r="AG71" s="46">
        <f>SUM(AG68,AG70)</f>
        <v>1</v>
      </c>
      <c r="AH71" s="47">
        <f>SUM(AH68:AH69)</f>
        <v>1</v>
      </c>
      <c r="AI71" s="47">
        <f>SUM(AI68:AI69)</f>
        <v>2</v>
      </c>
      <c r="AJ71" s="46">
        <f>SUM(AJ68,AJ70)</f>
        <v>2</v>
      </c>
      <c r="AK71" s="9"/>
      <c r="AL71" s="45"/>
      <c r="AM71" s="27"/>
      <c r="AN71" s="27"/>
      <c r="AO71" s="27"/>
      <c r="AP71" s="44"/>
    </row>
    <row r="72" spans="1:43" s="3" customFormat="1" ht="20.25" customHeight="1" x14ac:dyDescent="0.15">
      <c r="A72" s="43" t="str">
        <f>IF(A54="","",A54+1)</f>
        <v/>
      </c>
      <c r="B72" s="353" t="s">
        <v>6</v>
      </c>
      <c r="C72" s="354"/>
      <c r="D72" s="354"/>
      <c r="E72" s="354"/>
      <c r="F72" s="354"/>
      <c r="G72" s="354"/>
      <c r="H72" s="354"/>
      <c r="I72" s="40" t="s">
        <v>3</v>
      </c>
      <c r="J72" s="42"/>
      <c r="K72" s="38">
        <v>31</v>
      </c>
      <c r="L72" s="38" t="s">
        <v>4</v>
      </c>
      <c r="M72" s="38"/>
      <c r="N72" s="38"/>
      <c r="O72" s="38" t="s">
        <v>5</v>
      </c>
      <c r="P72" s="41"/>
      <c r="Q72" s="38"/>
      <c r="R72" s="38"/>
      <c r="S72" s="38"/>
      <c r="T72" s="38"/>
      <c r="U72" s="38"/>
      <c r="V72" s="38">
        <v>32</v>
      </c>
      <c r="W72" s="38" t="s">
        <v>4</v>
      </c>
      <c r="X72" s="38"/>
      <c r="Y72" s="38"/>
      <c r="Z72" s="40" t="s">
        <v>3</v>
      </c>
      <c r="AA72" s="39"/>
      <c r="AB72" s="38">
        <v>31</v>
      </c>
      <c r="AC72" s="38" t="s">
        <v>1</v>
      </c>
      <c r="AD72" s="38"/>
      <c r="AE72" s="38"/>
      <c r="AF72" s="38" t="s">
        <v>2</v>
      </c>
      <c r="AG72" s="38"/>
      <c r="AH72" s="38"/>
      <c r="AI72" s="38"/>
      <c r="AJ72" s="38"/>
      <c r="AK72" s="38"/>
      <c r="AL72" s="38"/>
      <c r="AM72" s="38">
        <v>32</v>
      </c>
      <c r="AN72" s="38" t="s">
        <v>1</v>
      </c>
      <c r="AO72" s="38"/>
      <c r="AP72" s="37"/>
    </row>
    <row r="73" spans="1:43" ht="20.25" customHeight="1" x14ac:dyDescent="0.15">
      <c r="A73" s="36">
        <f>$A$7+1</f>
        <v>1</v>
      </c>
      <c r="B73" s="355" t="str">
        <f>VLOOKUP($I73,[1]リスト!$C$2:$E$37,2,FALSE)</f>
        <v>14：05</v>
      </c>
      <c r="C73" s="356"/>
      <c r="D73" s="356"/>
      <c r="E73" s="359" t="s">
        <v>7</v>
      </c>
      <c r="F73" s="356" t="str">
        <f>VLOOKUP($I73,[1]リスト!$C$2:$E$37,3,FALSE)</f>
        <v>14：40</v>
      </c>
      <c r="G73" s="356"/>
      <c r="H73" s="356"/>
      <c r="I73" s="399">
        <v>35</v>
      </c>
      <c r="J73" s="35" t="e">
        <f>IF(P65&gt;S65,J62,T62)</f>
        <v>#N/A</v>
      </c>
      <c r="K73" s="402" t="str">
        <f>IF(OR(P62="",S62=""),"",IF(P65&gt;S65,K62,U62))</f>
        <v>仁多中</v>
      </c>
      <c r="L73" s="402"/>
      <c r="M73" s="402"/>
      <c r="N73" s="402"/>
      <c r="O73" s="402"/>
      <c r="P73" s="382">
        <f>IF(AND(Q73="",Q74=""),"",SUM(Q73:Q74))</f>
        <v>1</v>
      </c>
      <c r="Q73" s="31">
        <v>0</v>
      </c>
      <c r="R73" s="31">
        <v>7</v>
      </c>
      <c r="S73" s="382">
        <f>IF(AND(R73="",R74=""),"",SUM(R73:R74))</f>
        <v>12</v>
      </c>
      <c r="T73" s="33" t="e">
        <f>IF(AG65&gt;AJ65,AA62,AK62)</f>
        <v>#N/A</v>
      </c>
      <c r="U73" s="402" t="str">
        <f>IF(OR(AG62="",AJ62=""),"",IF(AG65&gt;AJ65,AB62,AL62))</f>
        <v>横田中</v>
      </c>
      <c r="V73" s="402"/>
      <c r="W73" s="402"/>
      <c r="X73" s="402"/>
      <c r="Y73" s="402"/>
      <c r="Z73" s="399">
        <v>36</v>
      </c>
      <c r="AA73" s="34" t="str">
        <f>IF(P65&lt;S65,J62,T62)</f>
        <v>B7</v>
      </c>
      <c r="AB73" s="402" t="str">
        <f>IF(OR(P62="",S62=""),"",IF(P65&lt;S65,K62,U62))</f>
        <v>八頭中</v>
      </c>
      <c r="AC73" s="402"/>
      <c r="AD73" s="402"/>
      <c r="AE73" s="402"/>
      <c r="AF73" s="402"/>
      <c r="AG73" s="382">
        <f>IF(AND(AH73="",AH74=""),"",SUM(AH73:AH74))</f>
        <v>2</v>
      </c>
      <c r="AH73" s="31">
        <v>1</v>
      </c>
      <c r="AI73" s="31">
        <v>1</v>
      </c>
      <c r="AJ73" s="382">
        <f>IF(AND(AI73="",AI74=""),"",SUM(AI73:AI74))</f>
        <v>1</v>
      </c>
      <c r="AK73" s="33" t="e">
        <f>IF(AG65&lt;AJ65,AA62,AK62)</f>
        <v>#N/A</v>
      </c>
      <c r="AL73" s="402" t="str">
        <f>IF(OR(AG62="",AJ62=""),"",IF(AG65&lt;AJ65,AB62,AL62))</f>
        <v>玖珂中</v>
      </c>
      <c r="AM73" s="402"/>
      <c r="AN73" s="402"/>
      <c r="AO73" s="402"/>
      <c r="AP73" s="403"/>
    </row>
    <row r="74" spans="1:43" ht="20.25" customHeight="1" x14ac:dyDescent="0.15">
      <c r="A74" s="19"/>
      <c r="B74" s="355"/>
      <c r="C74" s="356"/>
      <c r="D74" s="356"/>
      <c r="E74" s="359"/>
      <c r="F74" s="356"/>
      <c r="G74" s="356"/>
      <c r="H74" s="356"/>
      <c r="I74" s="399"/>
      <c r="J74" s="32"/>
      <c r="K74" s="402"/>
      <c r="L74" s="402"/>
      <c r="M74" s="402"/>
      <c r="N74" s="402"/>
      <c r="O74" s="402"/>
      <c r="P74" s="382"/>
      <c r="Q74" s="31">
        <v>1</v>
      </c>
      <c r="R74" s="31">
        <v>5</v>
      </c>
      <c r="S74" s="382"/>
      <c r="T74" s="30"/>
      <c r="U74" s="402"/>
      <c r="V74" s="402"/>
      <c r="W74" s="402"/>
      <c r="X74" s="402"/>
      <c r="Y74" s="402"/>
      <c r="Z74" s="399"/>
      <c r="AA74" s="13"/>
      <c r="AB74" s="402"/>
      <c r="AC74" s="402"/>
      <c r="AD74" s="402"/>
      <c r="AE74" s="402"/>
      <c r="AF74" s="402"/>
      <c r="AG74" s="382"/>
      <c r="AH74" s="31">
        <v>1</v>
      </c>
      <c r="AI74" s="31">
        <v>0</v>
      </c>
      <c r="AJ74" s="382"/>
      <c r="AK74" s="30"/>
      <c r="AL74" s="402"/>
      <c r="AM74" s="402"/>
      <c r="AN74" s="402"/>
      <c r="AO74" s="402"/>
      <c r="AP74" s="403"/>
    </row>
    <row r="75" spans="1:43" ht="20.25" customHeight="1" x14ac:dyDescent="0.15">
      <c r="A75" s="29"/>
      <c r="B75" s="28"/>
      <c r="C75" s="27"/>
      <c r="D75" s="27"/>
      <c r="E75" s="27"/>
      <c r="F75" s="27"/>
      <c r="G75" s="27"/>
      <c r="H75" s="27"/>
      <c r="I75" s="25"/>
      <c r="J75" s="26"/>
      <c r="K75" s="9"/>
      <c r="L75" s="9"/>
      <c r="M75" s="9"/>
      <c r="N75" s="9"/>
      <c r="O75" s="9"/>
      <c r="P75" s="23"/>
      <c r="Q75" s="404" t="str">
        <f>IF(OR(Q73="",R73="",Q74="",R74=""),"",IF(P73=S73,$B76,""))</f>
        <v/>
      </c>
      <c r="R75" s="404"/>
      <c r="S75" s="23"/>
      <c r="T75" s="9"/>
      <c r="U75" s="9"/>
      <c r="V75" s="9"/>
      <c r="W75" s="9"/>
      <c r="X75" s="9"/>
      <c r="Y75" s="9"/>
      <c r="Z75" s="25"/>
      <c r="AA75" s="24"/>
      <c r="AB75" s="21"/>
      <c r="AC75" s="21"/>
      <c r="AD75" s="21"/>
      <c r="AE75" s="21"/>
      <c r="AF75" s="21"/>
      <c r="AG75" s="23"/>
      <c r="AH75" s="409" t="str">
        <f>IF(OR(AH73="",AI73="",AH74="",AI74=""),"",IF(AG73=AJ73,$B76,""))</f>
        <v/>
      </c>
      <c r="AI75" s="409"/>
      <c r="AJ75" s="22"/>
      <c r="AK75" s="9"/>
      <c r="AL75" s="21"/>
      <c r="AM75" s="21"/>
      <c r="AN75" s="21"/>
      <c r="AO75" s="21"/>
      <c r="AP75" s="20"/>
    </row>
    <row r="76" spans="1:43" ht="20.25" hidden="1" customHeight="1" x14ac:dyDescent="0.15">
      <c r="A76" s="19"/>
      <c r="B76" s="18" t="s">
        <v>86</v>
      </c>
      <c r="C76" s="17"/>
      <c r="D76" s="17"/>
      <c r="E76" s="17"/>
      <c r="F76" s="17"/>
      <c r="G76" s="17"/>
      <c r="H76" s="17"/>
      <c r="I76" s="16"/>
      <c r="J76" s="15"/>
      <c r="K76" s="12"/>
      <c r="L76" s="7"/>
      <c r="M76" s="7"/>
      <c r="N76" s="7"/>
      <c r="O76" s="7"/>
      <c r="P76" s="10">
        <f>SUM(P73,P75)</f>
        <v>1</v>
      </c>
      <c r="Q76" s="11">
        <f>SUM(Q73:Q74)</f>
        <v>1</v>
      </c>
      <c r="R76" s="11">
        <f>SUM(R73:R74)</f>
        <v>12</v>
      </c>
      <c r="S76" s="10">
        <f>SUM(S73,S75)</f>
        <v>12</v>
      </c>
      <c r="T76" s="9"/>
      <c r="U76" s="8"/>
      <c r="V76" s="7"/>
      <c r="W76" s="7"/>
      <c r="X76" s="7"/>
      <c r="Y76" s="7"/>
      <c r="Z76" s="14"/>
      <c r="AA76" s="13"/>
      <c r="AB76" s="12"/>
      <c r="AC76" s="7"/>
      <c r="AD76" s="7"/>
      <c r="AE76" s="7"/>
      <c r="AF76" s="7"/>
      <c r="AG76" s="10">
        <f>SUM(AG73,AG75)</f>
        <v>2</v>
      </c>
      <c r="AH76" s="11">
        <f>SUM(AH73:AH74)</f>
        <v>2</v>
      </c>
      <c r="AI76" s="11">
        <f>SUM(AI73:AI74)</f>
        <v>1</v>
      </c>
      <c r="AJ76" s="10">
        <f>SUM(AJ73,AJ75)</f>
        <v>1</v>
      </c>
      <c r="AK76" s="9"/>
      <c r="AL76" s="8"/>
      <c r="AM76" s="7"/>
      <c r="AN76" s="7"/>
      <c r="AO76" s="7"/>
      <c r="AP76" s="6"/>
    </row>
  </sheetData>
  <sheetProtection selectLockedCells="1"/>
  <mergeCells count="277">
    <mergeCell ref="AJ73:AJ74"/>
    <mergeCell ref="AL73:AP74"/>
    <mergeCell ref="Q75:R75"/>
    <mergeCell ref="AH75:AI75"/>
    <mergeCell ref="P73:P74"/>
    <mergeCell ref="S73:S74"/>
    <mergeCell ref="U73:Y74"/>
    <mergeCell ref="Z73:Z74"/>
    <mergeCell ref="AB73:AF74"/>
    <mergeCell ref="AG73:AG74"/>
    <mergeCell ref="Q70:R70"/>
    <mergeCell ref="AH70:AI70"/>
    <mergeCell ref="B72:H72"/>
    <mergeCell ref="B73:D74"/>
    <mergeCell ref="E73:E74"/>
    <mergeCell ref="F73:H74"/>
    <mergeCell ref="I73:I74"/>
    <mergeCell ref="K73:O74"/>
    <mergeCell ref="P68:P69"/>
    <mergeCell ref="S68:S69"/>
    <mergeCell ref="U68:Y69"/>
    <mergeCell ref="Z68:Z69"/>
    <mergeCell ref="AB68:AF69"/>
    <mergeCell ref="AG68:AG69"/>
    <mergeCell ref="B67:H67"/>
    <mergeCell ref="B68:D69"/>
    <mergeCell ref="E68:E69"/>
    <mergeCell ref="F68:H69"/>
    <mergeCell ref="I68:I69"/>
    <mergeCell ref="K68:O69"/>
    <mergeCell ref="AJ62:AJ63"/>
    <mergeCell ref="AL62:AP63"/>
    <mergeCell ref="Q64:R64"/>
    <mergeCell ref="AH64:AI64"/>
    <mergeCell ref="B66:H66"/>
    <mergeCell ref="Q66:R66"/>
    <mergeCell ref="AH66:AI66"/>
    <mergeCell ref="P62:P63"/>
    <mergeCell ref="S62:S63"/>
    <mergeCell ref="U62:Y63"/>
    <mergeCell ref="Z62:Z63"/>
    <mergeCell ref="AB62:AF63"/>
    <mergeCell ref="AG62:AG63"/>
    <mergeCell ref="AJ68:AJ69"/>
    <mergeCell ref="AL68:AP69"/>
    <mergeCell ref="Q59:R59"/>
    <mergeCell ref="AH59:AI59"/>
    <mergeCell ref="B61:H61"/>
    <mergeCell ref="B62:D63"/>
    <mergeCell ref="E62:E63"/>
    <mergeCell ref="F62:H63"/>
    <mergeCell ref="I62:I63"/>
    <mergeCell ref="K62:O63"/>
    <mergeCell ref="P57:P58"/>
    <mergeCell ref="S57:S58"/>
    <mergeCell ref="U57:Y58"/>
    <mergeCell ref="Z57:Z58"/>
    <mergeCell ref="AB57:AF58"/>
    <mergeCell ref="AG57:AG58"/>
    <mergeCell ref="AJ52:AJ53"/>
    <mergeCell ref="AL52:AP53"/>
    <mergeCell ref="Q54:R54"/>
    <mergeCell ref="AH54:AI54"/>
    <mergeCell ref="B56:H56"/>
    <mergeCell ref="B57:D58"/>
    <mergeCell ref="E57:E58"/>
    <mergeCell ref="F57:H58"/>
    <mergeCell ref="I57:I58"/>
    <mergeCell ref="K57:O58"/>
    <mergeCell ref="P52:P53"/>
    <mergeCell ref="S52:S53"/>
    <mergeCell ref="U52:Y53"/>
    <mergeCell ref="Z52:Z53"/>
    <mergeCell ref="AB52:AF53"/>
    <mergeCell ref="AG52:AG53"/>
    <mergeCell ref="AJ57:AJ58"/>
    <mergeCell ref="AL57:AP58"/>
    <mergeCell ref="B51:H51"/>
    <mergeCell ref="B52:D53"/>
    <mergeCell ref="E52:E53"/>
    <mergeCell ref="F52:H53"/>
    <mergeCell ref="I52:I53"/>
    <mergeCell ref="K52:O53"/>
    <mergeCell ref="Z47:Z48"/>
    <mergeCell ref="AB47:AF48"/>
    <mergeCell ref="AG47:AG48"/>
    <mergeCell ref="AJ47:AJ48"/>
    <mergeCell ref="AL47:AP48"/>
    <mergeCell ref="Q49:R49"/>
    <mergeCell ref="AH49:AI49"/>
    <mergeCell ref="AL43:AP44"/>
    <mergeCell ref="B46:H46"/>
    <mergeCell ref="B47:D48"/>
    <mergeCell ref="E47:E48"/>
    <mergeCell ref="F47:H48"/>
    <mergeCell ref="I47:I48"/>
    <mergeCell ref="K47:O48"/>
    <mergeCell ref="P47:P48"/>
    <mergeCell ref="S47:S48"/>
    <mergeCell ref="U47:Y48"/>
    <mergeCell ref="S43:S44"/>
    <mergeCell ref="U43:Y44"/>
    <mergeCell ref="Z43:Z44"/>
    <mergeCell ref="AB43:AF44"/>
    <mergeCell ref="AG43:AG44"/>
    <mergeCell ref="AJ43:AJ44"/>
    <mergeCell ref="B43:D44"/>
    <mergeCell ref="E43:E44"/>
    <mergeCell ref="F43:H44"/>
    <mergeCell ref="I43:I44"/>
    <mergeCell ref="K43:O44"/>
    <mergeCell ref="P43:P44"/>
    <mergeCell ref="Z40:Z41"/>
    <mergeCell ref="AB40:AF41"/>
    <mergeCell ref="AG40:AG41"/>
    <mergeCell ref="AJ40:AJ41"/>
    <mergeCell ref="AL40:AP41"/>
    <mergeCell ref="B42:H42"/>
    <mergeCell ref="AL37:AP38"/>
    <mergeCell ref="B39:H39"/>
    <mergeCell ref="B40:D41"/>
    <mergeCell ref="E40:E41"/>
    <mergeCell ref="F40:H41"/>
    <mergeCell ref="I40:I41"/>
    <mergeCell ref="K40:O41"/>
    <mergeCell ref="P40:P41"/>
    <mergeCell ref="S40:S41"/>
    <mergeCell ref="U40:Y41"/>
    <mergeCell ref="S37:S38"/>
    <mergeCell ref="U37:Y38"/>
    <mergeCell ref="Z37:Z38"/>
    <mergeCell ref="AB37:AF38"/>
    <mergeCell ref="AG37:AG38"/>
    <mergeCell ref="AJ37:AJ38"/>
    <mergeCell ref="AJ33:AJ34"/>
    <mergeCell ref="AL33:AP34"/>
    <mergeCell ref="B35:H35"/>
    <mergeCell ref="B36:H36"/>
    <mergeCell ref="B37:D38"/>
    <mergeCell ref="E37:E38"/>
    <mergeCell ref="F37:H38"/>
    <mergeCell ref="I37:I38"/>
    <mergeCell ref="K37:O38"/>
    <mergeCell ref="P37:P38"/>
    <mergeCell ref="P33:P34"/>
    <mergeCell ref="S33:S34"/>
    <mergeCell ref="U33:Y34"/>
    <mergeCell ref="Z33:Z34"/>
    <mergeCell ref="AB33:AF34"/>
    <mergeCell ref="AG33:AG34"/>
    <mergeCell ref="B32:H32"/>
    <mergeCell ref="B33:D34"/>
    <mergeCell ref="E33:E34"/>
    <mergeCell ref="F33:H34"/>
    <mergeCell ref="I33:I34"/>
    <mergeCell ref="K33:O34"/>
    <mergeCell ref="U30:Y31"/>
    <mergeCell ref="Z30:Z31"/>
    <mergeCell ref="AB30:AF31"/>
    <mergeCell ref="AG30:AG31"/>
    <mergeCell ref="AJ30:AJ31"/>
    <mergeCell ref="AL30:AP31"/>
    <mergeCell ref="AL26:AP27"/>
    <mergeCell ref="B28:H28"/>
    <mergeCell ref="B29:H29"/>
    <mergeCell ref="B30:D31"/>
    <mergeCell ref="E30:E31"/>
    <mergeCell ref="F30:H31"/>
    <mergeCell ref="I30:I31"/>
    <mergeCell ref="K30:O31"/>
    <mergeCell ref="P30:P31"/>
    <mergeCell ref="S30:S31"/>
    <mergeCell ref="S26:S27"/>
    <mergeCell ref="U26:Y27"/>
    <mergeCell ref="Z26:Z27"/>
    <mergeCell ref="AB26:AF27"/>
    <mergeCell ref="AG26:AG27"/>
    <mergeCell ref="AJ26:AJ27"/>
    <mergeCell ref="B26:D27"/>
    <mergeCell ref="E26:E27"/>
    <mergeCell ref="F26:H27"/>
    <mergeCell ref="I26:I27"/>
    <mergeCell ref="K26:O27"/>
    <mergeCell ref="P26:P27"/>
    <mergeCell ref="Z23:Z24"/>
    <mergeCell ref="AB23:AF24"/>
    <mergeCell ref="AG23:AG24"/>
    <mergeCell ref="AJ23:AJ24"/>
    <mergeCell ref="AL23:AP24"/>
    <mergeCell ref="B25:H25"/>
    <mergeCell ref="AL20:AP21"/>
    <mergeCell ref="B22:H22"/>
    <mergeCell ref="B23:D24"/>
    <mergeCell ref="E23:E24"/>
    <mergeCell ref="F23:H24"/>
    <mergeCell ref="I23:I24"/>
    <mergeCell ref="K23:O24"/>
    <mergeCell ref="P23:P24"/>
    <mergeCell ref="S23:S24"/>
    <mergeCell ref="U23:Y24"/>
    <mergeCell ref="S20:S21"/>
    <mergeCell ref="U20:Y21"/>
    <mergeCell ref="Z20:Z21"/>
    <mergeCell ref="AB20:AF21"/>
    <mergeCell ref="AG20:AG21"/>
    <mergeCell ref="AJ20:AJ21"/>
    <mergeCell ref="I18:P18"/>
    <mergeCell ref="B19:H19"/>
    <mergeCell ref="B20:D21"/>
    <mergeCell ref="E20:E21"/>
    <mergeCell ref="F20:H21"/>
    <mergeCell ref="I20:I21"/>
    <mergeCell ref="K20:O21"/>
    <mergeCell ref="P20:P21"/>
    <mergeCell ref="U16:Y17"/>
    <mergeCell ref="Z16:Z17"/>
    <mergeCell ref="AB16:AF17"/>
    <mergeCell ref="AG16:AG17"/>
    <mergeCell ref="AJ16:AJ17"/>
    <mergeCell ref="AL16:AP17"/>
    <mergeCell ref="AJ13:AJ14"/>
    <mergeCell ref="AL13:AP14"/>
    <mergeCell ref="B15:H15"/>
    <mergeCell ref="B16:D17"/>
    <mergeCell ref="E16:E17"/>
    <mergeCell ref="F16:H17"/>
    <mergeCell ref="I16:I17"/>
    <mergeCell ref="K16:O17"/>
    <mergeCell ref="P16:P17"/>
    <mergeCell ref="S16:S17"/>
    <mergeCell ref="P13:P14"/>
    <mergeCell ref="S13:S14"/>
    <mergeCell ref="U13:Y14"/>
    <mergeCell ref="Z13:Z14"/>
    <mergeCell ref="AB13:AF14"/>
    <mergeCell ref="AG13:AG14"/>
    <mergeCell ref="B12:H12"/>
    <mergeCell ref="B13:D14"/>
    <mergeCell ref="E13:E14"/>
    <mergeCell ref="F13:H14"/>
    <mergeCell ref="I13:I14"/>
    <mergeCell ref="K13:O14"/>
    <mergeCell ref="U10:Y11"/>
    <mergeCell ref="Z10:Z11"/>
    <mergeCell ref="AB10:AF11"/>
    <mergeCell ref="AG10:AG11"/>
    <mergeCell ref="AJ10:AJ11"/>
    <mergeCell ref="AL10:AP11"/>
    <mergeCell ref="AJ7:AJ8"/>
    <mergeCell ref="AL7:AP8"/>
    <mergeCell ref="B9:H9"/>
    <mergeCell ref="B10:D11"/>
    <mergeCell ref="E10:E11"/>
    <mergeCell ref="F10:H11"/>
    <mergeCell ref="I10:I11"/>
    <mergeCell ref="K10:O11"/>
    <mergeCell ref="P10:P11"/>
    <mergeCell ref="S10:S11"/>
    <mergeCell ref="P7:P8"/>
    <mergeCell ref="S7:S8"/>
    <mergeCell ref="U7:Y8"/>
    <mergeCell ref="Z7:Z8"/>
    <mergeCell ref="AB7:AF8"/>
    <mergeCell ref="AG7:AG8"/>
    <mergeCell ref="B6:H6"/>
    <mergeCell ref="B7:D8"/>
    <mergeCell ref="E7:E8"/>
    <mergeCell ref="F7:H8"/>
    <mergeCell ref="I7:I8"/>
    <mergeCell ref="K7:O8"/>
    <mergeCell ref="A1:AP1"/>
    <mergeCell ref="N2:Z2"/>
    <mergeCell ref="AH2:AP2"/>
    <mergeCell ref="A4:A5"/>
    <mergeCell ref="B4:H5"/>
    <mergeCell ref="K4:Y5"/>
    <mergeCell ref="AB4:AP5"/>
  </mergeCells>
  <phoneticPr fontId="2"/>
  <conditionalFormatting sqref="A1:Y1 AA1:AP1">
    <cfRule type="cellIs" dxfId="155" priority="63" stopIfTrue="1" operator="equal">
      <formula>""</formula>
    </cfRule>
  </conditionalFormatting>
  <conditionalFormatting sqref="K19:Y19 K22:Y22 AB22:AP22">
    <cfRule type="cellIs" dxfId="154" priority="64" stopIfTrue="1" operator="equal">
      <formula>"*女子"</formula>
    </cfRule>
  </conditionalFormatting>
  <conditionalFormatting sqref="Z1">
    <cfRule type="cellIs" dxfId="153" priority="62" stopIfTrue="1" operator="equal">
      <formula>""</formula>
    </cfRule>
  </conditionalFormatting>
  <conditionalFormatting sqref="K32:Y32 AB32:AP32">
    <cfRule type="cellIs" dxfId="152" priority="61" stopIfTrue="1" operator="equal">
      <formula>"*女子"</formula>
    </cfRule>
  </conditionalFormatting>
  <conditionalFormatting sqref="K61:Y61">
    <cfRule type="cellIs" dxfId="151" priority="56" stopIfTrue="1" operator="equal">
      <formula>"*女子"</formula>
    </cfRule>
  </conditionalFormatting>
  <conditionalFormatting sqref="Q47:R48">
    <cfRule type="cellIs" dxfId="150" priority="55" stopIfTrue="1" operator="equal">
      <formula>""</formula>
    </cfRule>
  </conditionalFormatting>
  <conditionalFormatting sqref="Q52:R53">
    <cfRule type="cellIs" dxfId="149" priority="54" stopIfTrue="1" operator="equal">
      <formula>""</formula>
    </cfRule>
  </conditionalFormatting>
  <conditionalFormatting sqref="Q57:R58">
    <cfRule type="cellIs" dxfId="148" priority="53" stopIfTrue="1" operator="equal">
      <formula>""</formula>
    </cfRule>
  </conditionalFormatting>
  <conditionalFormatting sqref="Q62:R63">
    <cfRule type="cellIs" dxfId="147" priority="52" stopIfTrue="1" operator="equal">
      <formula>""</formula>
    </cfRule>
  </conditionalFormatting>
  <conditionalFormatting sqref="P49 P54 P59 P64">
    <cfRule type="expression" dxfId="146" priority="57" stopIfTrue="1">
      <formula>AND($Q49=$B50,$Q50=$R50,P49="")</formula>
    </cfRule>
    <cfRule type="expression" dxfId="145" priority="58" stopIfTrue="1">
      <formula>AND(Q49="",P49&lt;&gt;"")</formula>
    </cfRule>
  </conditionalFormatting>
  <conditionalFormatting sqref="S49 S54 S59 S64">
    <cfRule type="expression" dxfId="144" priority="59" stopIfTrue="1">
      <formula>AND($Q49=$B50,$Q50=$R50,S49="")</formula>
    </cfRule>
    <cfRule type="expression" dxfId="143" priority="60" stopIfTrue="1">
      <formula>AND($Q49="",S49&lt;&gt;"")</formula>
    </cfRule>
  </conditionalFormatting>
  <conditionalFormatting sqref="K51:Y51">
    <cfRule type="cellIs" dxfId="142" priority="51" stopIfTrue="1" operator="equal">
      <formula>"*女子"</formula>
    </cfRule>
  </conditionalFormatting>
  <conditionalFormatting sqref="AB61:AP61">
    <cfRule type="cellIs" dxfId="141" priority="46" stopIfTrue="1" operator="equal">
      <formula>"*女子"</formula>
    </cfRule>
  </conditionalFormatting>
  <conditionalFormatting sqref="AH47:AI48">
    <cfRule type="cellIs" dxfId="140" priority="45" stopIfTrue="1" operator="equal">
      <formula>""</formula>
    </cfRule>
  </conditionalFormatting>
  <conditionalFormatting sqref="AH52:AI53">
    <cfRule type="cellIs" dxfId="139" priority="44" stopIfTrue="1" operator="equal">
      <formula>""</formula>
    </cfRule>
  </conditionalFormatting>
  <conditionalFormatting sqref="AH57:AI58">
    <cfRule type="cellIs" dxfId="138" priority="43" stopIfTrue="1" operator="equal">
      <formula>""</formula>
    </cfRule>
  </conditionalFormatting>
  <conditionalFormatting sqref="AH62:AI63">
    <cfRule type="cellIs" dxfId="137" priority="42" stopIfTrue="1" operator="equal">
      <formula>""</formula>
    </cfRule>
  </conditionalFormatting>
  <conditionalFormatting sqref="AG49 AG54 AG59 AG64">
    <cfRule type="expression" dxfId="136" priority="47" stopIfTrue="1">
      <formula>AND(AH49=$B50,AH50=AI50,AG49="")</formula>
    </cfRule>
    <cfRule type="expression" dxfId="135" priority="48" stopIfTrue="1">
      <formula>AND(AH49="",AG49&lt;&gt;"")</formula>
    </cfRule>
  </conditionalFormatting>
  <conditionalFormatting sqref="AJ49 AJ54 AJ59 AJ64">
    <cfRule type="expression" dxfId="134" priority="49" stopIfTrue="1">
      <formula>AND(AH49=B50,$AH50=$AI50,AJ49="")</formula>
    </cfRule>
    <cfRule type="expression" dxfId="133" priority="50" stopIfTrue="1">
      <formula>AND($AH49="",AJ49&lt;&gt;"")</formula>
    </cfRule>
  </conditionalFormatting>
  <conditionalFormatting sqref="AB51:AP51">
    <cfRule type="cellIs" dxfId="132" priority="41" stopIfTrue="1" operator="equal">
      <formula>"*女子"</formula>
    </cfRule>
  </conditionalFormatting>
  <conditionalFormatting sqref="Q68:R69">
    <cfRule type="cellIs" dxfId="131" priority="36" stopIfTrue="1" operator="equal">
      <formula>""</formula>
    </cfRule>
  </conditionalFormatting>
  <conditionalFormatting sqref="Q73:R74">
    <cfRule type="cellIs" dxfId="130" priority="35" stopIfTrue="1" operator="equal">
      <formula>""</formula>
    </cfRule>
  </conditionalFormatting>
  <conditionalFormatting sqref="P70 P75">
    <cfRule type="expression" dxfId="129" priority="37" stopIfTrue="1">
      <formula>AND($Q70=$B71,$Q71=$R71,P70="")</formula>
    </cfRule>
    <cfRule type="expression" dxfId="128" priority="38" stopIfTrue="1">
      <formula>AND(Q70="",P70&lt;&gt;"")</formula>
    </cfRule>
  </conditionalFormatting>
  <conditionalFormatting sqref="S70 S75">
    <cfRule type="expression" dxfId="127" priority="39" stopIfTrue="1">
      <formula>AND($Q70=$B71,$Q71=$R71,S70="")</formula>
    </cfRule>
    <cfRule type="expression" dxfId="126" priority="40" stopIfTrue="1">
      <formula>AND($Q70="",S70&lt;&gt;"")</formula>
    </cfRule>
  </conditionalFormatting>
  <conditionalFormatting sqref="K72:Y72">
    <cfRule type="cellIs" dxfId="125" priority="34" stopIfTrue="1" operator="equal">
      <formula>"*女子"</formula>
    </cfRule>
  </conditionalFormatting>
  <conditionalFormatting sqref="AH68:AI69">
    <cfRule type="cellIs" dxfId="124" priority="29" stopIfTrue="1" operator="equal">
      <formula>""</formula>
    </cfRule>
  </conditionalFormatting>
  <conditionalFormatting sqref="AH73:AI74">
    <cfRule type="cellIs" dxfId="123" priority="28" stopIfTrue="1" operator="equal">
      <formula>""</formula>
    </cfRule>
  </conditionalFormatting>
  <conditionalFormatting sqref="AG70 AG75">
    <cfRule type="expression" dxfId="122" priority="30" stopIfTrue="1">
      <formula>AND(AH70=$B71,AH71=AI71,AG70="")</formula>
    </cfRule>
    <cfRule type="expression" dxfId="121" priority="31" stopIfTrue="1">
      <formula>AND(AH70="",AG70&lt;&gt;"")</formula>
    </cfRule>
  </conditionalFormatting>
  <conditionalFormatting sqref="AJ70 AJ75">
    <cfRule type="expression" dxfId="120" priority="32" stopIfTrue="1">
      <formula>AND(AH70=B71,$AH71=$AI71,AJ70="")</formula>
    </cfRule>
    <cfRule type="expression" dxfId="119" priority="33" stopIfTrue="1">
      <formula>AND($AH70="",AJ70&lt;&gt;"")</formula>
    </cfRule>
  </conditionalFormatting>
  <conditionalFormatting sqref="AB72:AP72">
    <cfRule type="cellIs" dxfId="118" priority="27" stopIfTrue="1" operator="equal">
      <formula>"*女子"</formula>
    </cfRule>
  </conditionalFormatting>
  <conditionalFormatting sqref="K12:Y12 AB12:AP12">
    <cfRule type="cellIs" dxfId="117" priority="26" stopIfTrue="1" operator="equal">
      <formula>"*女子"</formula>
    </cfRule>
  </conditionalFormatting>
  <conditionalFormatting sqref="Q7:R8">
    <cfRule type="cellIs" dxfId="116" priority="25" stopIfTrue="1" operator="equal">
      <formula>""</formula>
    </cfRule>
  </conditionalFormatting>
  <conditionalFormatting sqref="K15:Y15 AB15:AP15">
    <cfRule type="cellIs" dxfId="115" priority="24" stopIfTrue="1" operator="equal">
      <formula>"*女子"</formula>
    </cfRule>
  </conditionalFormatting>
  <conditionalFormatting sqref="AH7:AI8">
    <cfRule type="cellIs" dxfId="114" priority="23" stopIfTrue="1" operator="equal">
      <formula>""</formula>
    </cfRule>
  </conditionalFormatting>
  <conditionalFormatting sqref="AH10:AI11">
    <cfRule type="cellIs" dxfId="113" priority="22" stopIfTrue="1" operator="equal">
      <formula>""</formula>
    </cfRule>
  </conditionalFormatting>
  <conditionalFormatting sqref="AH13:AI14">
    <cfRule type="cellIs" dxfId="112" priority="21" stopIfTrue="1" operator="equal">
      <formula>""</formula>
    </cfRule>
  </conditionalFormatting>
  <conditionalFormatting sqref="AH16:AI17">
    <cfRule type="cellIs" dxfId="111" priority="20" stopIfTrue="1" operator="equal">
      <formula>""</formula>
    </cfRule>
  </conditionalFormatting>
  <conditionalFormatting sqref="Q16:R17">
    <cfRule type="cellIs" dxfId="110" priority="19" stopIfTrue="1" operator="equal">
      <formula>""</formula>
    </cfRule>
  </conditionalFormatting>
  <conditionalFormatting sqref="Q10:R11">
    <cfRule type="cellIs" dxfId="109" priority="18" stopIfTrue="1" operator="equal">
      <formula>""</formula>
    </cfRule>
  </conditionalFormatting>
  <conditionalFormatting sqref="Q13:R14">
    <cfRule type="cellIs" dxfId="108" priority="17" stopIfTrue="1" operator="equal">
      <formula>""</formula>
    </cfRule>
  </conditionalFormatting>
  <conditionalFormatting sqref="Q20:R21">
    <cfRule type="cellIs" dxfId="107" priority="16" stopIfTrue="1" operator="equal">
      <formula>""</formula>
    </cfRule>
  </conditionalFormatting>
  <conditionalFormatting sqref="Q23:R24">
    <cfRule type="cellIs" dxfId="106" priority="15" stopIfTrue="1" operator="equal">
      <formula>""</formula>
    </cfRule>
  </conditionalFormatting>
  <conditionalFormatting sqref="AH20:AI21">
    <cfRule type="cellIs" dxfId="105" priority="14" stopIfTrue="1" operator="equal">
      <formula>""</formula>
    </cfRule>
  </conditionalFormatting>
  <conditionalFormatting sqref="AH23:AI24">
    <cfRule type="cellIs" dxfId="104" priority="13" stopIfTrue="1" operator="equal">
      <formula>""</formula>
    </cfRule>
  </conditionalFormatting>
  <conditionalFormatting sqref="Q26:R27">
    <cfRule type="cellIs" dxfId="103" priority="12" stopIfTrue="1" operator="equal">
      <formula>""</formula>
    </cfRule>
  </conditionalFormatting>
  <conditionalFormatting sqref="AH26:AI27">
    <cfRule type="cellIs" dxfId="102" priority="11" stopIfTrue="1" operator="equal">
      <formula>""</formula>
    </cfRule>
  </conditionalFormatting>
  <conditionalFormatting sqref="Q30:R31">
    <cfRule type="cellIs" dxfId="101" priority="10" stopIfTrue="1" operator="equal">
      <formula>""</formula>
    </cfRule>
  </conditionalFormatting>
  <conditionalFormatting sqref="AH30:AI31">
    <cfRule type="cellIs" dxfId="100" priority="9" stopIfTrue="1" operator="equal">
      <formula>""</formula>
    </cfRule>
  </conditionalFormatting>
  <conditionalFormatting sqref="Q33:R34">
    <cfRule type="cellIs" dxfId="99" priority="8" stopIfTrue="1" operator="equal">
      <formula>""</formula>
    </cfRule>
  </conditionalFormatting>
  <conditionalFormatting sqref="AH33:AI34">
    <cfRule type="cellIs" dxfId="98" priority="7" stopIfTrue="1" operator="equal">
      <formula>""</formula>
    </cfRule>
  </conditionalFormatting>
  <conditionalFormatting sqref="Q37:R38">
    <cfRule type="cellIs" dxfId="97" priority="6" stopIfTrue="1" operator="equal">
      <formula>""</formula>
    </cfRule>
  </conditionalFormatting>
  <conditionalFormatting sqref="AH37:AI38">
    <cfRule type="cellIs" dxfId="96" priority="5" stopIfTrue="1" operator="equal">
      <formula>""</formula>
    </cfRule>
  </conditionalFormatting>
  <conditionalFormatting sqref="Q40:R41">
    <cfRule type="cellIs" dxfId="95" priority="4" stopIfTrue="1" operator="equal">
      <formula>""</formula>
    </cfRule>
  </conditionalFormatting>
  <conditionalFormatting sqref="AH40:AI41">
    <cfRule type="cellIs" dxfId="94" priority="3" stopIfTrue="1" operator="equal">
      <formula>""</formula>
    </cfRule>
  </conditionalFormatting>
  <conditionalFormatting sqref="Q43:R44">
    <cfRule type="cellIs" dxfId="93" priority="2" stopIfTrue="1" operator="equal">
      <formula>""</formula>
    </cfRule>
  </conditionalFormatting>
  <conditionalFormatting sqref="AH43:AI44">
    <cfRule type="cellIs" dxfId="92" priority="1" stopIfTrue="1" operator="equal">
      <formula>""</formula>
    </cfRule>
  </conditionalFormatting>
  <dataValidations count="1">
    <dataValidation imeMode="halfAlpha" allowBlank="1" showInputMessage="1" showErrorMessage="1" sqref="Q10:R11 Q13:R14 Q20:R21 Q26:R27 AH6:AI27 Q33:R34 Q37:R38 Q16:R17 AG75 Q40:R41 AH29:AI34 AJ54 AJ49 Q68:R69 Q30:R31 Q7:R8 Q47:R48 Q52:R53 Q57:R58 Q62:R63 Q73:R74 S75 S70 P75 S49 P64 S64 P59 S59 Q43:R44 P54 S54 P49 P70 AG49 AG54 AG59 AG64 AH47:AI48 AH52:AI53 AH57:AI58 AH62:AI63 AJ64 AJ59 AH68:AI69 AH73:AI74 AJ75 AJ70 AG70 Q23:R24 AH36:AI44"/>
  </dataValidations>
  <printOptions horizontalCentered="1"/>
  <pageMargins left="0.59055118110236227" right="0.59055118110236227" top="0.59055118110236227" bottom="0.39370078740157483" header="0.51181102362204722" footer="0.51181102362204722"/>
  <pageSetup paperSize="9" scale="5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AY40"/>
  <sheetViews>
    <sheetView showGridLines="0" topLeftCell="B1" zoomScale="85" zoomScaleNormal="85" workbookViewId="0">
      <selection activeCell="AA23" sqref="AA23:AA24"/>
    </sheetView>
  </sheetViews>
  <sheetFormatPr defaultColWidth="9" defaultRowHeight="13.5" x14ac:dyDescent="0.15"/>
  <cols>
    <col min="1" max="1" width="2.375" style="120" hidden="1" customWidth="1"/>
    <col min="2" max="2" width="9" style="120"/>
    <col min="3" max="3" width="2.5" style="120" customWidth="1"/>
    <col min="4" max="4" width="1.625" style="122" customWidth="1"/>
    <col min="5" max="5" width="1.25" style="120" customWidth="1"/>
    <col min="6" max="6" width="1.625" style="120" customWidth="1"/>
    <col min="7" max="8" width="2.5" style="120" customWidth="1"/>
    <col min="9" max="9" width="1.625" style="120" customWidth="1"/>
    <col min="10" max="10" width="1.25" style="120" customWidth="1"/>
    <col min="11" max="11" width="1.625" style="122" customWidth="1"/>
    <col min="12" max="13" width="2.5" style="120" customWidth="1"/>
    <col min="14" max="14" width="1.625" style="120" customWidth="1"/>
    <col min="15" max="15" width="1.25" style="122" customWidth="1"/>
    <col min="16" max="16" width="1.625" style="122" customWidth="1"/>
    <col min="17" max="18" width="2.5" style="120" customWidth="1"/>
    <col min="19" max="19" width="1.625" style="120" customWidth="1"/>
    <col min="20" max="20" width="1.25" style="122" customWidth="1"/>
    <col min="21" max="21" width="1.625" style="122" customWidth="1"/>
    <col min="22" max="23" width="2.5" style="120" customWidth="1"/>
    <col min="24" max="24" width="1.625" style="120" customWidth="1"/>
    <col min="25" max="25" width="1.25" style="122" customWidth="1"/>
    <col min="26" max="26" width="1.625" style="122" customWidth="1"/>
    <col min="27" max="27" width="2.5" style="122" customWidth="1"/>
    <col min="28" max="35" width="2.75" style="120" customWidth="1"/>
    <col min="36" max="36" width="2.75" style="121" customWidth="1"/>
    <col min="37" max="44" width="2.75" style="120" customWidth="1"/>
    <col min="45" max="45" width="4.125" style="120" hidden="1" customWidth="1"/>
    <col min="46" max="47" width="3" style="120" hidden="1" customWidth="1"/>
    <col min="48" max="49" width="4.625" style="120" hidden="1" customWidth="1"/>
    <col min="50" max="50" width="6.5" style="120" hidden="1" customWidth="1"/>
    <col min="51" max="51" width="9" style="120" hidden="1" customWidth="1"/>
    <col min="52" max="16384" width="9" style="120"/>
  </cols>
  <sheetData>
    <row r="1" spans="1:51" ht="30.75" customHeight="1" x14ac:dyDescent="0.2">
      <c r="A1" s="141"/>
      <c r="B1" s="410" t="str">
        <f>[1]参加チーム!B1</f>
        <v>第２５回中国中学生ホッケー選手権大会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  <c r="AC1" s="410"/>
      <c r="AD1" s="410"/>
      <c r="AE1" s="410"/>
      <c r="AF1" s="410"/>
      <c r="AG1" s="410"/>
      <c r="AH1" s="410"/>
      <c r="AI1" s="410"/>
      <c r="AJ1" s="410"/>
      <c r="AK1" s="410"/>
      <c r="AL1" s="410"/>
      <c r="AM1" s="410"/>
      <c r="AN1" s="410"/>
      <c r="AO1" s="410"/>
      <c r="AP1" s="410"/>
      <c r="AQ1" s="410"/>
      <c r="AR1" s="410"/>
      <c r="AS1" s="234"/>
      <c r="AT1" s="141"/>
      <c r="AU1" s="141"/>
      <c r="AV1" s="141"/>
      <c r="AW1" s="141"/>
      <c r="AX1" s="141"/>
      <c r="AY1" s="140"/>
    </row>
    <row r="2" spans="1:51" ht="18" customHeight="1" x14ac:dyDescent="0.15">
      <c r="A2" s="141"/>
      <c r="B2" s="179"/>
      <c r="C2" s="179"/>
      <c r="D2" s="182"/>
      <c r="E2" s="179"/>
      <c r="F2" s="179"/>
      <c r="G2" s="179"/>
      <c r="H2" s="179"/>
      <c r="I2" s="179"/>
      <c r="J2" s="179"/>
      <c r="K2" s="182"/>
      <c r="L2" s="179"/>
      <c r="M2" s="179"/>
      <c r="N2" s="179"/>
      <c r="O2" s="182"/>
      <c r="P2" s="182"/>
      <c r="Q2" s="179"/>
      <c r="R2" s="179"/>
      <c r="S2" s="179"/>
      <c r="T2" s="182"/>
      <c r="U2" s="182"/>
      <c r="V2" s="179"/>
      <c r="W2" s="179"/>
      <c r="X2" s="179"/>
      <c r="Y2" s="182"/>
      <c r="Z2" s="182"/>
      <c r="AA2" s="182"/>
      <c r="AB2" s="175"/>
      <c r="AC2" s="179"/>
      <c r="AD2" s="179"/>
      <c r="AE2" s="179"/>
      <c r="AF2" s="179"/>
      <c r="AG2" s="179"/>
      <c r="AH2" s="175"/>
      <c r="AI2" s="175"/>
      <c r="AJ2" s="175"/>
      <c r="AK2" s="175"/>
      <c r="AL2" s="233"/>
      <c r="AM2" s="233"/>
      <c r="AN2" s="233"/>
      <c r="AO2" s="233"/>
      <c r="AP2" s="233"/>
      <c r="AQ2" s="233"/>
      <c r="AR2" s="233"/>
      <c r="AS2" s="232"/>
      <c r="AT2" s="141"/>
      <c r="AU2" s="141"/>
      <c r="AV2" s="141"/>
      <c r="AW2" s="141"/>
      <c r="AX2" s="141"/>
      <c r="AY2" s="140"/>
    </row>
    <row r="3" spans="1:51" x14ac:dyDescent="0.15">
      <c r="A3" s="141"/>
      <c r="B3" s="179"/>
      <c r="C3" s="179"/>
      <c r="D3" s="182"/>
      <c r="E3" s="179"/>
      <c r="F3" s="179"/>
      <c r="G3" s="179"/>
      <c r="H3" s="179"/>
      <c r="I3" s="179"/>
      <c r="J3" s="179"/>
      <c r="K3" s="182"/>
      <c r="L3" s="179"/>
      <c r="M3" s="179"/>
      <c r="N3" s="179"/>
      <c r="O3" s="182"/>
      <c r="P3" s="182"/>
      <c r="Q3" s="179"/>
      <c r="R3" s="179"/>
      <c r="S3" s="179"/>
      <c r="T3" s="182"/>
      <c r="U3" s="182"/>
      <c r="V3" s="207"/>
      <c r="W3" s="207"/>
      <c r="X3" s="207"/>
      <c r="Y3" s="182"/>
      <c r="Z3" s="182"/>
      <c r="AA3" s="182"/>
      <c r="AB3" s="191"/>
      <c r="AC3" s="231"/>
      <c r="AD3" s="231"/>
      <c r="AE3" s="231"/>
      <c r="AF3" s="231"/>
      <c r="AG3" s="231"/>
      <c r="AH3" s="191"/>
      <c r="AI3" s="191"/>
      <c r="AJ3" s="191"/>
      <c r="AK3" s="207"/>
      <c r="AL3" s="207"/>
      <c r="AM3" s="193"/>
      <c r="AN3" s="193"/>
      <c r="AO3" s="193"/>
      <c r="AP3" s="191"/>
      <c r="AQ3" s="175"/>
      <c r="AR3" s="175"/>
      <c r="AS3" s="141"/>
      <c r="AT3" s="141"/>
      <c r="AU3" s="141"/>
      <c r="AV3" s="141"/>
      <c r="AW3" s="141"/>
      <c r="AX3" s="141"/>
      <c r="AY3" s="140"/>
    </row>
    <row r="4" spans="1:51" ht="17.25" x14ac:dyDescent="0.2">
      <c r="A4" s="141"/>
      <c r="B4" s="179"/>
      <c r="C4" s="179"/>
      <c r="D4" s="182"/>
      <c r="E4" s="179"/>
      <c r="F4" s="179"/>
      <c r="G4" s="179"/>
      <c r="H4" s="230" t="s">
        <v>65</v>
      </c>
      <c r="I4" s="229"/>
      <c r="J4" s="229"/>
      <c r="K4" s="229"/>
      <c r="L4" s="229"/>
      <c r="M4" s="229"/>
      <c r="N4" s="229"/>
      <c r="O4" s="229"/>
      <c r="P4" s="229"/>
      <c r="Q4" s="175"/>
      <c r="R4" s="189"/>
      <c r="S4" s="189"/>
      <c r="T4" s="182"/>
      <c r="U4" s="182"/>
      <c r="V4" s="207"/>
      <c r="W4" s="207"/>
      <c r="X4" s="207"/>
      <c r="Y4" s="411" t="str">
        <f>VLOOKUP(AB5,$F$6:$Q$9,3,FALSE)</f>
        <v>八頭中</v>
      </c>
      <c r="Z4" s="411"/>
      <c r="AA4" s="411"/>
      <c r="AB4" s="411"/>
      <c r="AC4" s="411"/>
      <c r="AD4" s="411"/>
      <c r="AE4" s="179"/>
      <c r="AF4" s="179"/>
      <c r="AG4" s="411" t="str">
        <f>VLOOKUP(AI5,$F$6:$Q$9,3,FALSE)</f>
        <v>磐梨中</v>
      </c>
      <c r="AH4" s="411"/>
      <c r="AI4" s="411"/>
      <c r="AJ4" s="411"/>
      <c r="AK4" s="411"/>
      <c r="AL4" s="193"/>
      <c r="AM4" s="193"/>
      <c r="AN4" s="193"/>
      <c r="AO4" s="228"/>
      <c r="AP4" s="191"/>
      <c r="AQ4" s="175"/>
      <c r="AR4" s="175"/>
      <c r="AS4" s="141"/>
      <c r="AT4" s="141"/>
      <c r="AU4" s="141"/>
      <c r="AV4" s="141"/>
      <c r="AW4" s="141"/>
      <c r="AX4" s="141"/>
      <c r="AY4" s="140"/>
    </row>
    <row r="5" spans="1:51" ht="15" customHeight="1" x14ac:dyDescent="0.15">
      <c r="A5" s="141"/>
      <c r="B5" s="179"/>
      <c r="C5" s="179"/>
      <c r="D5" s="182"/>
      <c r="E5" s="179"/>
      <c r="F5" s="227" t="s">
        <v>64</v>
      </c>
      <c r="G5" s="227"/>
      <c r="H5" s="412" t="s">
        <v>63</v>
      </c>
      <c r="I5" s="413"/>
      <c r="J5" s="413"/>
      <c r="K5" s="413"/>
      <c r="L5" s="413"/>
      <c r="M5" s="413"/>
      <c r="N5" s="413"/>
      <c r="O5" s="413"/>
      <c r="P5" s="413"/>
      <c r="Q5" s="226"/>
      <c r="R5" s="414"/>
      <c r="S5" s="414"/>
      <c r="T5" s="225"/>
      <c r="U5" s="225"/>
      <c r="V5" s="225"/>
      <c r="W5" s="225"/>
      <c r="X5" s="224"/>
      <c r="Y5" s="207"/>
      <c r="Z5" s="207"/>
      <c r="AA5" s="207"/>
      <c r="AB5" s="194">
        <v>1</v>
      </c>
      <c r="AC5" s="207"/>
      <c r="AD5" s="207"/>
      <c r="AE5" s="223">
        <v>7</v>
      </c>
      <c r="AF5" s="179"/>
      <c r="AG5" s="191"/>
      <c r="AH5" s="222"/>
      <c r="AI5" s="221">
        <v>3</v>
      </c>
      <c r="AJ5" s="175"/>
      <c r="AK5" s="191"/>
      <c r="AL5" s="191"/>
      <c r="AM5" s="191"/>
      <c r="AN5" s="191"/>
      <c r="AO5" s="191"/>
      <c r="AP5" s="191"/>
      <c r="AQ5" s="175"/>
      <c r="AR5" s="220"/>
      <c r="AS5" s="141"/>
      <c r="AT5" s="141"/>
      <c r="AU5" s="141"/>
      <c r="AV5" s="202"/>
      <c r="AW5" s="202"/>
      <c r="AX5" s="202"/>
      <c r="AY5" s="140"/>
    </row>
    <row r="6" spans="1:51" ht="20.25" customHeight="1" x14ac:dyDescent="0.15">
      <c r="A6" s="141"/>
      <c r="B6" s="179"/>
      <c r="C6" s="179"/>
      <c r="D6" s="182"/>
      <c r="E6" s="179"/>
      <c r="F6" s="415">
        <v>1</v>
      </c>
      <c r="G6" s="416"/>
      <c r="H6" s="417" t="str">
        <f>IF([1]参加チーム!$E$17=8,LEFT(VLOOKUP(F6,[1]参加チーム!$D$21:$F$28,3,FALSE),3),"")</f>
        <v>八頭中</v>
      </c>
      <c r="I6" s="418"/>
      <c r="J6" s="418"/>
      <c r="K6" s="418"/>
      <c r="L6" s="418"/>
      <c r="M6" s="419" t="s">
        <v>62</v>
      </c>
      <c r="N6" s="419"/>
      <c r="O6" s="419"/>
      <c r="P6" s="419"/>
      <c r="Q6" s="218" t="str">
        <f>VLOOKUP(F6,[1]参加チーム!$D$21:$F$28,2,FALSE)</f>
        <v>B1</v>
      </c>
      <c r="R6" s="420"/>
      <c r="S6" s="420"/>
      <c r="T6" s="210"/>
      <c r="U6" s="209"/>
      <c r="V6" s="209"/>
      <c r="W6" s="209"/>
      <c r="X6" s="187"/>
      <c r="Y6" s="187"/>
      <c r="Z6" s="187"/>
      <c r="AA6" s="187"/>
      <c r="AB6" s="179"/>
      <c r="AC6" s="207"/>
      <c r="AD6" s="207"/>
      <c r="AE6" s="179"/>
      <c r="AF6" s="191"/>
      <c r="AG6" s="191"/>
      <c r="AH6" s="179"/>
      <c r="AI6" s="219"/>
      <c r="AJ6" s="219"/>
      <c r="AK6" s="219"/>
      <c r="AL6" s="179"/>
      <c r="AM6" s="191"/>
      <c r="AN6" s="191"/>
      <c r="AO6" s="191"/>
      <c r="AP6" s="191"/>
      <c r="AQ6" s="175"/>
      <c r="AR6" s="175"/>
      <c r="AS6" s="141"/>
      <c r="AT6" s="190">
        <f>IF(F6="","",F6)</f>
        <v>1</v>
      </c>
      <c r="AU6" s="141"/>
      <c r="AV6" s="202"/>
      <c r="AW6" s="202"/>
      <c r="AX6" s="202"/>
      <c r="AY6" s="140"/>
    </row>
    <row r="7" spans="1:51" ht="20.25" customHeight="1" x14ac:dyDescent="0.15">
      <c r="A7" s="141"/>
      <c r="B7" s="179"/>
      <c r="C7" s="179"/>
      <c r="D7" s="182"/>
      <c r="E7" s="179"/>
      <c r="F7" s="415">
        <v>3</v>
      </c>
      <c r="G7" s="416" t="str">
        <f>Q7</f>
        <v>B5</v>
      </c>
      <c r="H7" s="417" t="str">
        <f>IF([1]参加チーム!$E$17=8,LEFT(VLOOKUP(F7,[1]参加チーム!$D$21:$F$28,3,FALSE),3),"")</f>
        <v>磐梨中</v>
      </c>
      <c r="I7" s="418"/>
      <c r="J7" s="418"/>
      <c r="K7" s="418"/>
      <c r="L7" s="418"/>
      <c r="M7" s="419" t="s">
        <v>62</v>
      </c>
      <c r="N7" s="419"/>
      <c r="O7" s="419"/>
      <c r="P7" s="419"/>
      <c r="Q7" s="218" t="str">
        <f>VLOOKUP(F7,[1]参加チーム!$D$21:$F$28,2,FALSE)</f>
        <v>B5</v>
      </c>
      <c r="R7" s="420"/>
      <c r="S7" s="420"/>
      <c r="T7" s="210"/>
      <c r="U7" s="209"/>
      <c r="V7" s="209"/>
      <c r="W7" s="209"/>
      <c r="X7" s="187"/>
      <c r="Y7" s="182"/>
      <c r="Z7" s="217"/>
      <c r="AA7" s="216"/>
      <c r="AB7" s="215">
        <v>24</v>
      </c>
      <c r="AC7" s="181"/>
      <c r="AD7" s="214">
        <v>16</v>
      </c>
      <c r="AE7" s="191"/>
      <c r="AF7" s="207"/>
      <c r="AG7" s="213">
        <v>15</v>
      </c>
      <c r="AH7" s="191"/>
      <c r="AI7" s="213">
        <v>23</v>
      </c>
      <c r="AJ7" s="175"/>
      <c r="AK7" s="212"/>
      <c r="AL7" s="211"/>
      <c r="AM7" s="179"/>
      <c r="AN7" s="191"/>
      <c r="AO7" s="191"/>
      <c r="AP7" s="191"/>
      <c r="AQ7" s="175"/>
      <c r="AR7" s="179"/>
      <c r="AS7" s="141"/>
      <c r="AT7" s="190">
        <f>IF(F7="","",F7)</f>
        <v>3</v>
      </c>
      <c r="AU7" s="141"/>
      <c r="AV7" s="202"/>
      <c r="AW7" s="202"/>
      <c r="AX7" s="202"/>
      <c r="AY7" s="140"/>
    </row>
    <row r="8" spans="1:51" ht="20.25" customHeight="1" x14ac:dyDescent="0.15">
      <c r="A8" s="141"/>
      <c r="B8" s="179"/>
      <c r="C8" s="179"/>
      <c r="D8" s="182"/>
      <c r="E8" s="179"/>
      <c r="F8" s="415">
        <v>4</v>
      </c>
      <c r="G8" s="416" t="str">
        <f>Q8</f>
        <v>B4</v>
      </c>
      <c r="H8" s="417" t="str">
        <f>IF([1]参加チーム!$E$17=8,LEFT(VLOOKUP(F8,[1]参加チーム!$D$21:$F$28,3,FALSE),3),"")</f>
        <v>横田中</v>
      </c>
      <c r="I8" s="418"/>
      <c r="J8" s="418"/>
      <c r="K8" s="418"/>
      <c r="L8" s="418"/>
      <c r="M8" s="419" t="s">
        <v>62</v>
      </c>
      <c r="N8" s="419"/>
      <c r="O8" s="419"/>
      <c r="P8" s="421"/>
      <c r="Q8" s="201" t="str">
        <f>VLOOKUP(F8,[1]参加チーム!$D$21:$F$28,2,FALSE)</f>
        <v>B4</v>
      </c>
      <c r="R8" s="420"/>
      <c r="S8" s="420"/>
      <c r="T8" s="210"/>
      <c r="U8" s="209"/>
      <c r="V8" s="209"/>
      <c r="W8" s="209"/>
      <c r="X8" s="179"/>
      <c r="Y8" s="192"/>
      <c r="Z8" s="192"/>
      <c r="AA8" s="192"/>
      <c r="AB8" s="179"/>
      <c r="AC8" s="208"/>
      <c r="AD8" s="207"/>
      <c r="AE8" s="207"/>
      <c r="AF8" s="205"/>
      <c r="AG8" s="206"/>
      <c r="AH8" s="205"/>
      <c r="AI8" s="191"/>
      <c r="AJ8" s="175"/>
      <c r="AK8" s="179"/>
      <c r="AL8" s="179"/>
      <c r="AM8" s="205"/>
      <c r="AN8" s="205"/>
      <c r="AO8" s="205"/>
      <c r="AP8" s="191"/>
      <c r="AQ8" s="179"/>
      <c r="AR8" s="204"/>
      <c r="AS8" s="203"/>
      <c r="AT8" s="190">
        <f>IF(F8="","",F8)</f>
        <v>4</v>
      </c>
      <c r="AU8" s="141"/>
      <c r="AV8" s="202"/>
      <c r="AW8" s="202"/>
      <c r="AX8" s="202"/>
      <c r="AY8" s="140"/>
    </row>
    <row r="9" spans="1:51" ht="20.25" customHeight="1" x14ac:dyDescent="0.15">
      <c r="A9" s="141"/>
      <c r="B9" s="179"/>
      <c r="C9" s="179"/>
      <c r="D9" s="182"/>
      <c r="E9" s="179"/>
      <c r="F9" s="415">
        <v>8</v>
      </c>
      <c r="G9" s="416" t="str">
        <f>Q9</f>
        <v>B8</v>
      </c>
      <c r="H9" s="417" t="str">
        <f>IF([1]参加チーム!$E$17=8,LEFT(VLOOKUP(F9,[1]参加チーム!$D$21:$F$28,3,FALSE),3),"")</f>
        <v>高森み</v>
      </c>
      <c r="I9" s="418"/>
      <c r="J9" s="418"/>
      <c r="K9" s="418"/>
      <c r="L9" s="418"/>
      <c r="M9" s="419" t="s">
        <v>62</v>
      </c>
      <c r="N9" s="419"/>
      <c r="O9" s="419"/>
      <c r="P9" s="421"/>
      <c r="Q9" s="201" t="str">
        <f>VLOOKUP(F9,[1]参加チーム!$D$21:$F$28,2,FALSE)</f>
        <v>B8</v>
      </c>
      <c r="R9" s="200"/>
      <c r="S9" s="200"/>
      <c r="T9" s="200"/>
      <c r="U9" s="187"/>
      <c r="V9" s="187"/>
      <c r="W9" s="187"/>
      <c r="X9" s="199"/>
      <c r="Y9" s="187"/>
      <c r="Z9" s="187"/>
      <c r="AA9" s="187"/>
      <c r="AB9" s="198">
        <v>4</v>
      </c>
      <c r="AC9" s="197"/>
      <c r="AD9" s="196"/>
      <c r="AE9" s="179"/>
      <c r="AF9" s="195">
        <v>8</v>
      </c>
      <c r="AG9" s="179"/>
      <c r="AH9" s="186"/>
      <c r="AI9" s="194">
        <v>8</v>
      </c>
      <c r="AJ9" s="175"/>
      <c r="AK9" s="193"/>
      <c r="AL9" s="192"/>
      <c r="AM9" s="191"/>
      <c r="AN9" s="191"/>
      <c r="AO9" s="191"/>
      <c r="AP9" s="191"/>
      <c r="AQ9" s="175"/>
      <c r="AR9" s="175"/>
      <c r="AS9" s="141"/>
      <c r="AT9" s="190">
        <f>IF(F9="","",F9)</f>
        <v>8</v>
      </c>
      <c r="AU9" s="141"/>
      <c r="AV9" s="141"/>
      <c r="AW9" s="141"/>
      <c r="AX9" s="141"/>
      <c r="AY9" s="140"/>
    </row>
    <row r="10" spans="1:51" ht="13.5" customHeight="1" x14ac:dyDescent="0.15">
      <c r="A10" s="141"/>
      <c r="B10" s="179"/>
      <c r="C10" s="179"/>
      <c r="D10" s="182"/>
      <c r="E10" s="179"/>
      <c r="F10" s="179"/>
      <c r="G10" s="179"/>
      <c r="H10" s="179"/>
      <c r="I10" s="175"/>
      <c r="J10" s="175"/>
      <c r="K10" s="189"/>
      <c r="L10" s="175"/>
      <c r="M10" s="175"/>
      <c r="N10" s="175"/>
      <c r="O10" s="189"/>
      <c r="P10" s="189"/>
      <c r="Q10" s="178"/>
      <c r="R10" s="178"/>
      <c r="S10" s="178"/>
      <c r="T10" s="188"/>
      <c r="U10" s="188"/>
      <c r="V10" s="178"/>
      <c r="W10" s="176"/>
      <c r="X10" s="176"/>
      <c r="Y10" s="187"/>
      <c r="Z10" s="422" t="str">
        <f>VLOOKUP(AB9,$F$6:$Q$9,3,FALSE)</f>
        <v>横田中</v>
      </c>
      <c r="AA10" s="422"/>
      <c r="AB10" s="422"/>
      <c r="AC10" s="422"/>
      <c r="AD10" s="422"/>
      <c r="AE10" s="186"/>
      <c r="AF10" s="179"/>
      <c r="AG10" s="422" t="str">
        <f>VLOOKUP(AI9,$F$6:$Q$9,3,FALSE)</f>
        <v>高森み</v>
      </c>
      <c r="AH10" s="422"/>
      <c r="AI10" s="422"/>
      <c r="AJ10" s="422"/>
      <c r="AK10" s="422"/>
      <c r="AL10" s="185"/>
      <c r="AM10" s="185"/>
      <c r="AN10" s="423"/>
      <c r="AO10" s="423"/>
      <c r="AP10" s="184"/>
      <c r="AQ10" s="183"/>
      <c r="AR10" s="174"/>
      <c r="AS10" s="141"/>
      <c r="AT10" s="141"/>
      <c r="AU10" s="141"/>
      <c r="AV10" s="141"/>
      <c r="AW10" s="141"/>
      <c r="AX10" s="141"/>
      <c r="AY10" s="140"/>
    </row>
    <row r="11" spans="1:51" ht="12" customHeight="1" x14ac:dyDescent="0.15">
      <c r="A11" s="141"/>
      <c r="B11" s="179"/>
      <c r="C11" s="179"/>
      <c r="D11" s="182"/>
      <c r="E11" s="179"/>
      <c r="F11" s="179"/>
      <c r="G11" s="179"/>
      <c r="H11" s="179"/>
      <c r="I11" s="179"/>
      <c r="J11" s="179"/>
      <c r="K11" s="182"/>
      <c r="L11" s="179"/>
      <c r="M11" s="179"/>
      <c r="N11" s="179"/>
      <c r="O11" s="182"/>
      <c r="P11" s="182"/>
      <c r="Q11" s="176"/>
      <c r="R11" s="176"/>
      <c r="S11" s="176"/>
      <c r="T11" s="181"/>
      <c r="U11" s="181"/>
      <c r="V11" s="176"/>
      <c r="W11" s="176"/>
      <c r="X11" s="176"/>
      <c r="Y11" s="181"/>
      <c r="Z11" s="181"/>
      <c r="AA11" s="181"/>
      <c r="AB11" s="180"/>
      <c r="AC11" s="179"/>
      <c r="AD11" s="179"/>
      <c r="AE11" s="177"/>
      <c r="AF11" s="177"/>
      <c r="AG11" s="177"/>
      <c r="AH11" s="176"/>
      <c r="AI11" s="176"/>
      <c r="AJ11" s="178"/>
      <c r="AK11" s="177"/>
      <c r="AL11" s="176"/>
      <c r="AM11" s="175"/>
      <c r="AN11" s="175"/>
      <c r="AO11" s="175"/>
      <c r="AP11" s="175"/>
      <c r="AQ11" s="175"/>
      <c r="AR11" s="174"/>
      <c r="AS11" s="141"/>
      <c r="AT11" s="141" t="s">
        <v>61</v>
      </c>
      <c r="AU11" s="141"/>
      <c r="AV11" s="173">
        <v>3</v>
      </c>
      <c r="AW11" s="173" t="s">
        <v>49</v>
      </c>
      <c r="AX11" s="173"/>
      <c r="AY11" s="140"/>
    </row>
    <row r="12" spans="1:51" x14ac:dyDescent="0.15">
      <c r="A12" s="172"/>
      <c r="B12" s="171" t="s">
        <v>60</v>
      </c>
      <c r="C12" s="412" t="s">
        <v>59</v>
      </c>
      <c r="D12" s="413"/>
      <c r="E12" s="413"/>
      <c r="F12" s="413"/>
      <c r="G12" s="413"/>
      <c r="H12" s="413"/>
      <c r="I12" s="413"/>
      <c r="J12" s="413"/>
      <c r="K12" s="413"/>
      <c r="L12" s="413"/>
      <c r="M12" s="413"/>
      <c r="N12" s="170" t="s">
        <v>58</v>
      </c>
      <c r="O12" s="169"/>
      <c r="P12" s="169"/>
      <c r="Q12" s="170"/>
      <c r="R12" s="170" t="s">
        <v>39</v>
      </c>
      <c r="S12" s="170"/>
      <c r="T12" s="169"/>
      <c r="U12" s="169"/>
      <c r="V12" s="170"/>
      <c r="W12" s="170"/>
      <c r="X12" s="170"/>
      <c r="Y12" s="169"/>
      <c r="Z12" s="169"/>
      <c r="AA12" s="169"/>
      <c r="AB12" s="413" t="s">
        <v>87</v>
      </c>
      <c r="AC12" s="413"/>
      <c r="AD12" s="413"/>
      <c r="AE12" s="413"/>
      <c r="AF12" s="413"/>
      <c r="AG12" s="168"/>
      <c r="AH12" s="167" t="s">
        <v>49</v>
      </c>
      <c r="AI12" s="167"/>
      <c r="AJ12" s="168"/>
      <c r="AK12" s="167"/>
      <c r="AL12" s="167"/>
      <c r="AM12" s="413" t="s">
        <v>87</v>
      </c>
      <c r="AN12" s="413"/>
      <c r="AO12" s="413"/>
      <c r="AP12" s="413"/>
      <c r="AQ12" s="413"/>
      <c r="AR12" s="436"/>
      <c r="AS12" s="166"/>
      <c r="AT12" s="141" t="s">
        <v>88</v>
      </c>
      <c r="AU12" s="165" t="s">
        <v>89</v>
      </c>
      <c r="AV12" s="141"/>
      <c r="AW12" s="141" t="s">
        <v>56</v>
      </c>
      <c r="AX12" s="141" t="s">
        <v>55</v>
      </c>
      <c r="AY12" s="140"/>
    </row>
    <row r="13" spans="1:51" ht="14.25" customHeight="1" x14ac:dyDescent="0.15">
      <c r="A13" s="159"/>
      <c r="B13" s="158">
        <f>[1]参加チーム!$J$5</f>
        <v>43672</v>
      </c>
      <c r="C13" s="437" t="str">
        <f>IF(MOD(N13,2)=0,"B","A")&amp;"　コート"</f>
        <v>A　コート</v>
      </c>
      <c r="D13" s="438"/>
      <c r="E13" s="438"/>
      <c r="F13" s="438"/>
      <c r="G13" s="438"/>
      <c r="H13" s="438"/>
      <c r="I13" s="438"/>
      <c r="J13" s="438"/>
      <c r="K13" s="438"/>
      <c r="L13" s="438"/>
      <c r="M13" s="438"/>
      <c r="N13" s="441">
        <v>7</v>
      </c>
      <c r="O13" s="441"/>
      <c r="P13" s="441"/>
      <c r="Q13" s="443" t="str">
        <f>VLOOKUP(N13,[1]リスト!$C$2:$F$34,2,FALSE)</f>
        <v>16：10</v>
      </c>
      <c r="R13" s="443"/>
      <c r="S13" s="443"/>
      <c r="T13" s="443"/>
      <c r="U13" s="445" t="s">
        <v>90</v>
      </c>
      <c r="V13" s="445"/>
      <c r="W13" s="447"/>
      <c r="X13" s="447"/>
      <c r="Y13" s="447"/>
      <c r="Z13" s="447"/>
      <c r="AA13" s="449" t="str">
        <f>IF($P$10=4,AT13,"")</f>
        <v/>
      </c>
      <c r="AB13" s="451" t="str">
        <f>VLOOKUP(AT13,$F$6:$Q$9,12,FALSE)</f>
        <v>B1</v>
      </c>
      <c r="AC13" s="424" t="str">
        <f>VLOOKUP(AT13,$F$6:$Q$9,3,FALSE)</f>
        <v>八頭中</v>
      </c>
      <c r="AD13" s="424" t="str">
        <f>IF($P$9=3,VLOOKUP(AC13,$G$6:$S$9,2,FALSE),"")</f>
        <v/>
      </c>
      <c r="AE13" s="424" t="str">
        <f>IF($P$9=3,VLOOKUP(AD13,$G$6:$S$9,2,FALSE),"")</f>
        <v/>
      </c>
      <c r="AF13" s="424" t="str">
        <f>IF($P$9=3,VLOOKUP(AE13,$G$6:$S$9,2,FALSE),"")</f>
        <v/>
      </c>
      <c r="AG13" s="424" t="str">
        <f>IF($P$9=3,VLOOKUP(AF13,$G$6:$S$9,2,FALSE),"")</f>
        <v/>
      </c>
      <c r="AH13" s="426">
        <f>IF(AI13="","",SUM(AI13:AI14))</f>
        <v>6</v>
      </c>
      <c r="AI13" s="156">
        <f>IF(日程・対戦記録表!Q16="","",日程・対戦記録表!Q16)</f>
        <v>3</v>
      </c>
      <c r="AJ13" s="157" t="s">
        <v>91</v>
      </c>
      <c r="AK13" s="156">
        <f>IF(日程・対戦記録表!R16="","",日程・対戦記録表!R16)</f>
        <v>1</v>
      </c>
      <c r="AL13" s="428">
        <f>IF(AK13="","",SUM(AK13:AK14))</f>
        <v>2</v>
      </c>
      <c r="AM13" s="430" t="str">
        <f>VLOOKUP(AU13,$F$6:$Q$9,3,FALSE)</f>
        <v>磐梨中</v>
      </c>
      <c r="AN13" s="430" t="str">
        <f>IF($P$9=3,VLOOKUP(AM13,$G$6:$S$9,2,FALSE),"")</f>
        <v/>
      </c>
      <c r="AO13" s="430" t="str">
        <f>IF($P$9=3,VLOOKUP(AN13,$G$6:$S$9,2,FALSE),"")</f>
        <v/>
      </c>
      <c r="AP13" s="430" t="str">
        <f>IF($P$9=3,VLOOKUP(AO13,$G$6:$S$9,2,FALSE),"")</f>
        <v/>
      </c>
      <c r="AQ13" s="430" t="str">
        <f>IF($P$9=3,VLOOKUP(AP13,$G$6:$S$9,2,FALSE),"")</f>
        <v/>
      </c>
      <c r="AR13" s="432" t="str">
        <f>VLOOKUP(AU13,$F$6:$Q$9,12,FALSE)</f>
        <v>B5</v>
      </c>
      <c r="AS13" s="434" t="str">
        <f>IF($P$10=4,AU13,"")</f>
        <v/>
      </c>
      <c r="AT13" s="164">
        <v>1</v>
      </c>
      <c r="AU13" s="163">
        <v>3</v>
      </c>
      <c r="AV13" s="155" t="str">
        <f>AT13&amp;AU13</f>
        <v>13</v>
      </c>
      <c r="AW13" s="155">
        <f>IF(AI13="","",AI13)</f>
        <v>3</v>
      </c>
      <c r="AX13" s="155">
        <f>IF(AI14="","",AI14)</f>
        <v>3</v>
      </c>
      <c r="AY13" s="140"/>
    </row>
    <row r="14" spans="1:51" ht="13.5" customHeight="1" x14ac:dyDescent="0.15">
      <c r="A14" s="154" t="str">
        <f>IF(A13="","",WEEKDAY(A13))</f>
        <v/>
      </c>
      <c r="B14" s="160">
        <f>IF(B13="","",WEEKDAY(B13))</f>
        <v>6</v>
      </c>
      <c r="C14" s="439"/>
      <c r="D14" s="440"/>
      <c r="E14" s="440"/>
      <c r="F14" s="440"/>
      <c r="G14" s="440"/>
      <c r="H14" s="440"/>
      <c r="I14" s="440"/>
      <c r="J14" s="440"/>
      <c r="K14" s="440"/>
      <c r="L14" s="440"/>
      <c r="M14" s="440"/>
      <c r="N14" s="442"/>
      <c r="O14" s="442"/>
      <c r="P14" s="442"/>
      <c r="Q14" s="444"/>
      <c r="R14" s="444"/>
      <c r="S14" s="444"/>
      <c r="T14" s="444"/>
      <c r="U14" s="446"/>
      <c r="V14" s="446"/>
      <c r="W14" s="448"/>
      <c r="X14" s="448"/>
      <c r="Y14" s="448"/>
      <c r="Z14" s="448"/>
      <c r="AA14" s="450"/>
      <c r="AB14" s="452"/>
      <c r="AC14" s="425"/>
      <c r="AD14" s="425"/>
      <c r="AE14" s="425"/>
      <c r="AF14" s="425"/>
      <c r="AG14" s="425"/>
      <c r="AH14" s="427"/>
      <c r="AI14" s="151">
        <f>IF(日程・対戦記録表!Q17="","",日程・対戦記録表!Q17)</f>
        <v>3</v>
      </c>
      <c r="AJ14" s="152" t="s">
        <v>91</v>
      </c>
      <c r="AK14" s="151">
        <f>IF(日程・対戦記録表!R17="","",日程・対戦記録表!R17)</f>
        <v>1</v>
      </c>
      <c r="AL14" s="429"/>
      <c r="AM14" s="431"/>
      <c r="AN14" s="431"/>
      <c r="AO14" s="431"/>
      <c r="AP14" s="431"/>
      <c r="AQ14" s="431"/>
      <c r="AR14" s="433"/>
      <c r="AS14" s="435"/>
      <c r="AT14" s="162"/>
      <c r="AU14" s="161"/>
      <c r="AV14" s="149" t="str">
        <f>AU13&amp;AT13</f>
        <v>31</v>
      </c>
      <c r="AW14" s="149">
        <f>IF(AK13="","",AK13)</f>
        <v>1</v>
      </c>
      <c r="AX14" s="149">
        <f>IF(AK14="","",AK14)</f>
        <v>1</v>
      </c>
      <c r="AY14" s="140"/>
    </row>
    <row r="15" spans="1:51" ht="13.5" customHeight="1" x14ac:dyDescent="0.15">
      <c r="A15" s="159"/>
      <c r="B15" s="158">
        <f>[1]参加チーム!$J$5</f>
        <v>43672</v>
      </c>
      <c r="C15" s="437" t="str">
        <f>IF(MOD(N15,2)=0,"B","A")&amp;"　コート"</f>
        <v>B　コート</v>
      </c>
      <c r="D15" s="438"/>
      <c r="E15" s="438"/>
      <c r="F15" s="438"/>
      <c r="G15" s="438"/>
      <c r="H15" s="438"/>
      <c r="I15" s="438"/>
      <c r="J15" s="438"/>
      <c r="K15" s="438"/>
      <c r="L15" s="438"/>
      <c r="M15" s="438"/>
      <c r="N15" s="441">
        <v>8</v>
      </c>
      <c r="O15" s="441"/>
      <c r="P15" s="441"/>
      <c r="Q15" s="443" t="str">
        <f>VLOOKUP(N15,[1]リスト!$C$2:$F$34,2,FALSE)</f>
        <v>16：10</v>
      </c>
      <c r="R15" s="443"/>
      <c r="S15" s="443"/>
      <c r="T15" s="443"/>
      <c r="U15" s="445" t="s">
        <v>90</v>
      </c>
      <c r="V15" s="445"/>
      <c r="W15" s="447"/>
      <c r="X15" s="447"/>
      <c r="Y15" s="447"/>
      <c r="Z15" s="447"/>
      <c r="AA15" s="449" t="str">
        <f>IF($P$10=4,AT15,"")</f>
        <v/>
      </c>
      <c r="AB15" s="451" t="str">
        <f>VLOOKUP(AT15,$F$6:$Q$9,12,FALSE)</f>
        <v>B4</v>
      </c>
      <c r="AC15" s="424" t="str">
        <f>VLOOKUP(AT15,$F$6:$Q$9,3,FALSE)</f>
        <v>横田中</v>
      </c>
      <c r="AD15" s="424" t="str">
        <f>IF($P$9=3,VLOOKUP(AC15,$G$6:$S$9,2,FALSE),"")</f>
        <v/>
      </c>
      <c r="AE15" s="424" t="str">
        <f>IF($P$9=3,VLOOKUP(AD15,$G$6:$S$9,2,FALSE),"")</f>
        <v/>
      </c>
      <c r="AF15" s="424" t="str">
        <f>IF($P$9=3,VLOOKUP(AE15,$G$6:$S$9,2,FALSE),"")</f>
        <v/>
      </c>
      <c r="AG15" s="424" t="str">
        <f>IF($P$9=3,VLOOKUP(AF15,$G$6:$S$9,2,FALSE),"")</f>
        <v/>
      </c>
      <c r="AH15" s="453">
        <f>IF(AI15="","",SUM(AI15:AI16))</f>
        <v>20</v>
      </c>
      <c r="AI15" s="156">
        <f>IF(日程・対戦記録表!AH16="","",日程・対戦記録表!AH16)</f>
        <v>8</v>
      </c>
      <c r="AJ15" s="157" t="s">
        <v>91</v>
      </c>
      <c r="AK15" s="156">
        <f>IF(日程・対戦記録表!AI16="","",日程・対戦記録表!AI17)</f>
        <v>0</v>
      </c>
      <c r="AL15" s="428">
        <f>IF(AK15="","",SUM(AK15:AK16))</f>
        <v>0</v>
      </c>
      <c r="AM15" s="430" t="str">
        <f>VLOOKUP(AU15,$F$6:$Q$9,3,FALSE)</f>
        <v>高森み</v>
      </c>
      <c r="AN15" s="430" t="str">
        <f>IF($P$9=3,VLOOKUP(AM15,$G$6:$S$9,2,FALSE),"")</f>
        <v/>
      </c>
      <c r="AO15" s="430" t="str">
        <f>IF($P$9=3,VLOOKUP(AN15,$G$6:$S$9,2,FALSE),"")</f>
        <v/>
      </c>
      <c r="AP15" s="430" t="str">
        <f>IF($P$9=3,VLOOKUP(AO15,$G$6:$S$9,2,FALSE),"")</f>
        <v/>
      </c>
      <c r="AQ15" s="430" t="str">
        <f>IF($P$9=3,VLOOKUP(AP15,$G$6:$S$9,2,FALSE),"")</f>
        <v/>
      </c>
      <c r="AR15" s="432" t="str">
        <f>VLOOKUP(AU15,$F$6:$Q$9,12,FALSE)</f>
        <v>B8</v>
      </c>
      <c r="AS15" s="434" t="str">
        <f>IF($P$10=4,AU15,"")</f>
        <v/>
      </c>
      <c r="AT15" s="150">
        <v>4</v>
      </c>
      <c r="AU15" s="150">
        <v>8</v>
      </c>
      <c r="AV15" s="141" t="str">
        <f>AT15&amp;AU15</f>
        <v>48</v>
      </c>
      <c r="AW15" s="155">
        <f>IF(AI15="","",AI15)</f>
        <v>8</v>
      </c>
      <c r="AX15" s="155">
        <f>IF(AI16="","",AI16)</f>
        <v>12</v>
      </c>
      <c r="AY15" s="140"/>
    </row>
    <row r="16" spans="1:51" ht="13.5" customHeight="1" x14ac:dyDescent="0.15">
      <c r="A16" s="154" t="str">
        <f>IF(A15="","",WEEKDAY(A15))</f>
        <v/>
      </c>
      <c r="B16" s="160">
        <f>IF(B15="","",WEEKDAY(B15))</f>
        <v>6</v>
      </c>
      <c r="C16" s="439"/>
      <c r="D16" s="440"/>
      <c r="E16" s="440"/>
      <c r="F16" s="440"/>
      <c r="G16" s="440"/>
      <c r="H16" s="440"/>
      <c r="I16" s="440"/>
      <c r="J16" s="440"/>
      <c r="K16" s="440"/>
      <c r="L16" s="440"/>
      <c r="M16" s="440"/>
      <c r="N16" s="442"/>
      <c r="O16" s="442"/>
      <c r="P16" s="442"/>
      <c r="Q16" s="444"/>
      <c r="R16" s="444"/>
      <c r="S16" s="444"/>
      <c r="T16" s="444"/>
      <c r="U16" s="446"/>
      <c r="V16" s="446"/>
      <c r="W16" s="448"/>
      <c r="X16" s="448"/>
      <c r="Y16" s="448"/>
      <c r="Z16" s="448"/>
      <c r="AA16" s="450"/>
      <c r="AB16" s="452"/>
      <c r="AC16" s="425"/>
      <c r="AD16" s="425"/>
      <c r="AE16" s="425"/>
      <c r="AF16" s="425"/>
      <c r="AG16" s="425"/>
      <c r="AH16" s="454"/>
      <c r="AI16" s="151">
        <f>IF(日程・対戦記録表!AH17="","",日程・対戦記録表!AH17)</f>
        <v>12</v>
      </c>
      <c r="AJ16" s="152" t="s">
        <v>91</v>
      </c>
      <c r="AK16" s="151">
        <f>IF(日程・対戦記録表!AI17="","",日程・対戦記録表!AI17)</f>
        <v>0</v>
      </c>
      <c r="AL16" s="429"/>
      <c r="AM16" s="431"/>
      <c r="AN16" s="431"/>
      <c r="AO16" s="431"/>
      <c r="AP16" s="431"/>
      <c r="AQ16" s="431"/>
      <c r="AR16" s="433"/>
      <c r="AS16" s="435"/>
      <c r="AT16" s="150"/>
      <c r="AU16" s="150"/>
      <c r="AV16" s="141" t="str">
        <f>AU15&amp;AT15</f>
        <v>84</v>
      </c>
      <c r="AW16" s="149">
        <f>IF(AK15="","",AK15)</f>
        <v>0</v>
      </c>
      <c r="AX16" s="149">
        <f>IF(AK16="","",AK16)</f>
        <v>0</v>
      </c>
      <c r="AY16" s="140"/>
    </row>
    <row r="17" spans="1:51" ht="13.5" customHeight="1" x14ac:dyDescent="0.15">
      <c r="A17" s="159"/>
      <c r="B17" s="158">
        <f>[1]参加チーム!$J$5+1</f>
        <v>43673</v>
      </c>
      <c r="C17" s="437" t="str">
        <f>IF(MOD(N17,2)=0,"B","A")&amp;"　コート"</f>
        <v>A　コート</v>
      </c>
      <c r="D17" s="438"/>
      <c r="E17" s="438"/>
      <c r="F17" s="438"/>
      <c r="G17" s="438"/>
      <c r="H17" s="438"/>
      <c r="I17" s="438"/>
      <c r="J17" s="438"/>
      <c r="K17" s="438"/>
      <c r="L17" s="438"/>
      <c r="M17" s="438"/>
      <c r="N17" s="441">
        <v>15</v>
      </c>
      <c r="O17" s="441"/>
      <c r="P17" s="441"/>
      <c r="Q17" s="443" t="str">
        <f>VLOOKUP(N17,[1]リスト!$C$2:$F$34,2,FALSE)</f>
        <v>12：10</v>
      </c>
      <c r="R17" s="443"/>
      <c r="S17" s="443"/>
      <c r="T17" s="443"/>
      <c r="U17" s="445" t="s">
        <v>90</v>
      </c>
      <c r="V17" s="445"/>
      <c r="W17" s="447"/>
      <c r="X17" s="447"/>
      <c r="Y17" s="447"/>
      <c r="Z17" s="447"/>
      <c r="AA17" s="449" t="str">
        <f>IF($P$10=4,AT17,"")</f>
        <v/>
      </c>
      <c r="AB17" s="451" t="str">
        <f>VLOOKUP(AT17,$F$6:$Q$9,12,FALSE)</f>
        <v>B5</v>
      </c>
      <c r="AC17" s="424" t="str">
        <f>VLOOKUP(AT17,$F$6:$Q$9,3,FALSE)</f>
        <v>磐梨中</v>
      </c>
      <c r="AD17" s="424" t="str">
        <f>IF($P$9=3,VLOOKUP(AC17,$G$6:$S$9,2,FALSE),"")</f>
        <v/>
      </c>
      <c r="AE17" s="424" t="str">
        <f>IF($P$9=3,VLOOKUP(AD17,$G$6:$S$9,2,FALSE),"")</f>
        <v/>
      </c>
      <c r="AF17" s="424" t="str">
        <f>IF($P$9=3,VLOOKUP(AE17,$G$6:$S$9,2,FALSE),"")</f>
        <v/>
      </c>
      <c r="AG17" s="424" t="str">
        <f>IF($P$9=3,VLOOKUP(AF17,$G$6:$S$9,2,FALSE),"")</f>
        <v/>
      </c>
      <c r="AH17" s="426">
        <f>IF(AI17="","",SUM(AI17:AI18))</f>
        <v>0</v>
      </c>
      <c r="AI17" s="156">
        <f>IF(日程・対戦記録表!Q30="","",日程・対戦記録表!Q30)</f>
        <v>0</v>
      </c>
      <c r="AJ17" s="157" t="s">
        <v>91</v>
      </c>
      <c r="AK17" s="156">
        <f>IF(日程・対戦記録表!R30="","",日程・対戦記録表!R30)</f>
        <v>8</v>
      </c>
      <c r="AL17" s="428">
        <f>IF(AK17="","",SUM(AK17:AK18))</f>
        <v>15</v>
      </c>
      <c r="AM17" s="430" t="str">
        <f>VLOOKUP(AU17,$F$6:$Q$9,3,FALSE)</f>
        <v>横田中</v>
      </c>
      <c r="AN17" s="430" t="str">
        <f>IF($P$9=3,VLOOKUP(AM17,$G$6:$S$9,2,FALSE),"")</f>
        <v/>
      </c>
      <c r="AO17" s="430" t="str">
        <f>IF($P$9=3,VLOOKUP(AN17,$G$6:$S$9,2,FALSE),"")</f>
        <v/>
      </c>
      <c r="AP17" s="430" t="str">
        <f>IF($P$9=3,VLOOKUP(AO17,$G$6:$S$9,2,FALSE),"")</f>
        <v/>
      </c>
      <c r="AQ17" s="430" t="str">
        <f>IF($P$9=3,VLOOKUP(AP17,$G$6:$S$9,2,FALSE),"")</f>
        <v/>
      </c>
      <c r="AR17" s="432" t="str">
        <f>VLOOKUP(AU17,$F$6:$Q$9,12,FALSE)</f>
        <v>B4</v>
      </c>
      <c r="AS17" s="434" t="str">
        <f>IF($P$10=4,AU17,"")</f>
        <v/>
      </c>
      <c r="AT17" s="150">
        <v>3</v>
      </c>
      <c r="AU17" s="150">
        <v>4</v>
      </c>
      <c r="AV17" s="141" t="str">
        <f>AT17&amp;AU17</f>
        <v>34</v>
      </c>
      <c r="AW17" s="155">
        <f>IF(AI17="","",AI17)</f>
        <v>0</v>
      </c>
      <c r="AX17" s="155">
        <f>IF(AI18="","",AI18)</f>
        <v>0</v>
      </c>
      <c r="AY17" s="140"/>
    </row>
    <row r="18" spans="1:51" ht="13.5" customHeight="1" x14ac:dyDescent="0.15">
      <c r="A18" s="154" t="str">
        <f>IF(A17="","",WEEKDAY(A17))</f>
        <v/>
      </c>
      <c r="B18" s="160">
        <f>IF(B17="","",WEEKDAY(B17))</f>
        <v>7</v>
      </c>
      <c r="C18" s="439"/>
      <c r="D18" s="440"/>
      <c r="E18" s="440"/>
      <c r="F18" s="440"/>
      <c r="G18" s="440"/>
      <c r="H18" s="440"/>
      <c r="I18" s="440"/>
      <c r="J18" s="440"/>
      <c r="K18" s="440"/>
      <c r="L18" s="440"/>
      <c r="M18" s="440"/>
      <c r="N18" s="442"/>
      <c r="O18" s="442"/>
      <c r="P18" s="442"/>
      <c r="Q18" s="444"/>
      <c r="R18" s="444"/>
      <c r="S18" s="444"/>
      <c r="T18" s="444"/>
      <c r="U18" s="446"/>
      <c r="V18" s="446"/>
      <c r="W18" s="448"/>
      <c r="X18" s="448"/>
      <c r="Y18" s="448"/>
      <c r="Z18" s="448"/>
      <c r="AA18" s="450"/>
      <c r="AB18" s="452"/>
      <c r="AC18" s="425"/>
      <c r="AD18" s="425"/>
      <c r="AE18" s="425"/>
      <c r="AF18" s="425"/>
      <c r="AG18" s="425"/>
      <c r="AH18" s="427"/>
      <c r="AI18" s="151">
        <f>IF(日程・対戦記録表!Q31="","",日程・対戦記録表!Q31)</f>
        <v>0</v>
      </c>
      <c r="AJ18" s="152" t="s">
        <v>91</v>
      </c>
      <c r="AK18" s="151">
        <f>IF(日程・対戦記録表!R31="","",日程・対戦記録表!R31)</f>
        <v>7</v>
      </c>
      <c r="AL18" s="429"/>
      <c r="AM18" s="431"/>
      <c r="AN18" s="431"/>
      <c r="AO18" s="431"/>
      <c r="AP18" s="431"/>
      <c r="AQ18" s="431"/>
      <c r="AR18" s="433"/>
      <c r="AS18" s="435"/>
      <c r="AT18" s="150"/>
      <c r="AU18" s="150"/>
      <c r="AV18" s="141" t="str">
        <f>AU17&amp;AT17</f>
        <v>43</v>
      </c>
      <c r="AW18" s="149">
        <f>IF(AK17="","",AK17)</f>
        <v>8</v>
      </c>
      <c r="AX18" s="149">
        <f>IF(AK18="","",AK18)</f>
        <v>7</v>
      </c>
      <c r="AY18" s="140"/>
    </row>
    <row r="19" spans="1:51" ht="13.5" customHeight="1" x14ac:dyDescent="0.15">
      <c r="A19" s="159"/>
      <c r="B19" s="158">
        <f>[1]参加チーム!$J$5+1</f>
        <v>43673</v>
      </c>
      <c r="C19" s="437" t="str">
        <f>IF(MOD(N19,2)=0,"B","A")&amp;"　コート"</f>
        <v>B　コート</v>
      </c>
      <c r="D19" s="438"/>
      <c r="E19" s="438"/>
      <c r="F19" s="438"/>
      <c r="G19" s="438"/>
      <c r="H19" s="438"/>
      <c r="I19" s="438"/>
      <c r="J19" s="438"/>
      <c r="K19" s="438"/>
      <c r="L19" s="438"/>
      <c r="M19" s="438"/>
      <c r="N19" s="441">
        <v>16</v>
      </c>
      <c r="O19" s="441"/>
      <c r="P19" s="441"/>
      <c r="Q19" s="443" t="str">
        <f>VLOOKUP(N19,[1]リスト!$C$2:$F$34,2,FALSE)</f>
        <v>12：10</v>
      </c>
      <c r="R19" s="443"/>
      <c r="S19" s="443"/>
      <c r="T19" s="443"/>
      <c r="U19" s="445" t="s">
        <v>90</v>
      </c>
      <c r="V19" s="445"/>
      <c r="W19" s="447"/>
      <c r="X19" s="447"/>
      <c r="Y19" s="447"/>
      <c r="Z19" s="447"/>
      <c r="AA19" s="449" t="str">
        <f>IF($P$10=4,AT19,"")</f>
        <v/>
      </c>
      <c r="AB19" s="451" t="str">
        <f>VLOOKUP(AT19,$F$6:$Q$9,12,FALSE)</f>
        <v>B1</v>
      </c>
      <c r="AC19" s="424" t="str">
        <f>VLOOKUP(AT19,$F$6:$Q$9,3,FALSE)</f>
        <v>八頭中</v>
      </c>
      <c r="AD19" s="424" t="str">
        <f>IF($P$9=3,VLOOKUP(AC19,$G$6:$S$9,2,FALSE),"")</f>
        <v/>
      </c>
      <c r="AE19" s="424" t="str">
        <f>IF($P$9=3,VLOOKUP(AD19,$G$6:$S$9,2,FALSE),"")</f>
        <v/>
      </c>
      <c r="AF19" s="424" t="str">
        <f>IF($P$9=3,VLOOKUP(AE19,$G$6:$S$9,2,FALSE),"")</f>
        <v/>
      </c>
      <c r="AG19" s="424" t="str">
        <f>IF($P$9=3,VLOOKUP(AF19,$G$6:$S$9,2,FALSE),"")</f>
        <v/>
      </c>
      <c r="AH19" s="426">
        <f>IF(AI19="","",SUM(AI19:AI20))</f>
        <v>17</v>
      </c>
      <c r="AI19" s="156">
        <f>IF(日程・対戦記録表!AH30="","",日程・対戦記録表!AH30)</f>
        <v>7</v>
      </c>
      <c r="AJ19" s="157" t="s">
        <v>91</v>
      </c>
      <c r="AK19" s="156">
        <f>IF(日程・対戦記録表!AI30="","",日程・対戦記録表!AI30)</f>
        <v>0</v>
      </c>
      <c r="AL19" s="428">
        <f>IF(AK19="","",SUM(AK19:AK20))</f>
        <v>0</v>
      </c>
      <c r="AM19" s="430" t="str">
        <f>VLOOKUP(AU19,$F$6:$Q$9,3,FALSE)</f>
        <v>高森み</v>
      </c>
      <c r="AN19" s="430" t="str">
        <f>IF($P$9=3,VLOOKUP(AM19,$G$6:$S$9,2,FALSE),"")</f>
        <v/>
      </c>
      <c r="AO19" s="430" t="str">
        <f>IF($P$9=3,VLOOKUP(AN19,$G$6:$S$9,2,FALSE),"")</f>
        <v/>
      </c>
      <c r="AP19" s="430" t="str">
        <f>IF($P$9=3,VLOOKUP(AO19,$G$6:$S$9,2,FALSE),"")</f>
        <v/>
      </c>
      <c r="AQ19" s="430" t="str">
        <f>IF($P$9=3,VLOOKUP(AP19,$G$6:$S$9,2,FALSE),"")</f>
        <v/>
      </c>
      <c r="AR19" s="432" t="str">
        <f>VLOOKUP(AU19,$F$6:$Q$9,12,FALSE)</f>
        <v>B8</v>
      </c>
      <c r="AS19" s="434" t="str">
        <f>IF($P$10=4,AU19,"")</f>
        <v/>
      </c>
      <c r="AT19" s="150">
        <v>1</v>
      </c>
      <c r="AU19" s="150">
        <v>8</v>
      </c>
      <c r="AV19" s="141" t="str">
        <f>AT19&amp;AU19</f>
        <v>18</v>
      </c>
      <c r="AW19" s="155">
        <f>IF(AI19="","",AI19)</f>
        <v>7</v>
      </c>
      <c r="AX19" s="155">
        <f>IF(AI20="","",AI20)</f>
        <v>10</v>
      </c>
      <c r="AY19" s="140"/>
    </row>
    <row r="20" spans="1:51" ht="13.5" customHeight="1" x14ac:dyDescent="0.15">
      <c r="A20" s="154" t="str">
        <f>IF(A19="","",WEEKDAY(A19))</f>
        <v/>
      </c>
      <c r="B20" s="160">
        <f>IF(B19="","",WEEKDAY(B19))</f>
        <v>7</v>
      </c>
      <c r="C20" s="439"/>
      <c r="D20" s="440"/>
      <c r="E20" s="440"/>
      <c r="F20" s="440"/>
      <c r="G20" s="440"/>
      <c r="H20" s="440"/>
      <c r="I20" s="440"/>
      <c r="J20" s="440"/>
      <c r="K20" s="440"/>
      <c r="L20" s="440"/>
      <c r="M20" s="440"/>
      <c r="N20" s="442"/>
      <c r="O20" s="442"/>
      <c r="P20" s="442"/>
      <c r="Q20" s="444"/>
      <c r="R20" s="444"/>
      <c r="S20" s="444"/>
      <c r="T20" s="444"/>
      <c r="U20" s="446"/>
      <c r="V20" s="446"/>
      <c r="W20" s="448"/>
      <c r="X20" s="448"/>
      <c r="Y20" s="448"/>
      <c r="Z20" s="448"/>
      <c r="AA20" s="450"/>
      <c r="AB20" s="452"/>
      <c r="AC20" s="425"/>
      <c r="AD20" s="425"/>
      <c r="AE20" s="425"/>
      <c r="AF20" s="425"/>
      <c r="AG20" s="425"/>
      <c r="AH20" s="427"/>
      <c r="AI20" s="151">
        <f>IF(日程・対戦記録表!AH31="","",日程・対戦記録表!AH31)</f>
        <v>10</v>
      </c>
      <c r="AJ20" s="152" t="s">
        <v>91</v>
      </c>
      <c r="AK20" s="151">
        <f>IF(日程・対戦記録表!AI31="","",日程・対戦記録表!AI31)</f>
        <v>0</v>
      </c>
      <c r="AL20" s="429"/>
      <c r="AM20" s="431"/>
      <c r="AN20" s="431"/>
      <c r="AO20" s="431"/>
      <c r="AP20" s="431"/>
      <c r="AQ20" s="431"/>
      <c r="AR20" s="433"/>
      <c r="AS20" s="435"/>
      <c r="AT20" s="150"/>
      <c r="AU20" s="150"/>
      <c r="AV20" s="141" t="str">
        <f>AU19&amp;AT19</f>
        <v>81</v>
      </c>
      <c r="AW20" s="149">
        <f>IF(AK19="","",AK19)</f>
        <v>0</v>
      </c>
      <c r="AX20" s="149">
        <f>IF(AK20="","",AK20)</f>
        <v>0</v>
      </c>
      <c r="AY20" s="140"/>
    </row>
    <row r="21" spans="1:51" ht="13.5" customHeight="1" x14ac:dyDescent="0.15">
      <c r="A21" s="159"/>
      <c r="B21" s="158">
        <f>[1]参加チーム!$J$5+1</f>
        <v>43673</v>
      </c>
      <c r="C21" s="437" t="str">
        <f>IF(MOD(N21,2)=0,"B","A")&amp;"　コート"</f>
        <v>A　コート</v>
      </c>
      <c r="D21" s="438"/>
      <c r="E21" s="438"/>
      <c r="F21" s="438"/>
      <c r="G21" s="438"/>
      <c r="H21" s="438"/>
      <c r="I21" s="438"/>
      <c r="J21" s="438"/>
      <c r="K21" s="438"/>
      <c r="L21" s="438"/>
      <c r="M21" s="438"/>
      <c r="N21" s="441">
        <v>23</v>
      </c>
      <c r="O21" s="441"/>
      <c r="P21" s="441"/>
      <c r="Q21" s="443" t="str">
        <f>VLOOKUP(N21,[1]リスト!$C$2:$F$34,2,FALSE)</f>
        <v>15：10</v>
      </c>
      <c r="R21" s="443"/>
      <c r="S21" s="443"/>
      <c r="T21" s="443"/>
      <c r="U21" s="445" t="s">
        <v>90</v>
      </c>
      <c r="V21" s="445"/>
      <c r="W21" s="447"/>
      <c r="X21" s="447"/>
      <c r="Y21" s="447"/>
      <c r="Z21" s="447"/>
      <c r="AA21" s="449" t="str">
        <f>IF($P$10=4,AT21,"")</f>
        <v/>
      </c>
      <c r="AB21" s="451" t="str">
        <f>VLOOKUP(AT21,$F$6:$Q$9,12,FALSE)</f>
        <v>B5</v>
      </c>
      <c r="AC21" s="424" t="str">
        <f>VLOOKUP(AT21,$F$6:$Q$9,3,FALSE)</f>
        <v>磐梨中</v>
      </c>
      <c r="AD21" s="424" t="str">
        <f>IF($P$9=3,VLOOKUP(AC21,$G$6:$S$9,2,FALSE),"")</f>
        <v/>
      </c>
      <c r="AE21" s="424" t="str">
        <f>IF($P$9=3,VLOOKUP(AD21,$G$6:$S$9,2,FALSE),"")</f>
        <v/>
      </c>
      <c r="AF21" s="424" t="str">
        <f>IF($P$9=3,VLOOKUP(AE21,$G$6:$S$9,2,FALSE),"")</f>
        <v/>
      </c>
      <c r="AG21" s="424" t="str">
        <f>IF($P$9=3,VLOOKUP(AF21,$G$6:$S$9,2,FALSE),"")</f>
        <v/>
      </c>
      <c r="AH21" s="426">
        <f>IF(AI21="","",SUM(AI21:AI22))</f>
        <v>6</v>
      </c>
      <c r="AI21" s="156">
        <f>IF(日程・対戦記録表!Q43="","",日程・対戦記録表!Q43)</f>
        <v>2</v>
      </c>
      <c r="AJ21" s="157" t="s">
        <v>91</v>
      </c>
      <c r="AK21" s="156">
        <f>IF(日程・対戦記録表!R43="","",日程・対戦記録表!R43)</f>
        <v>0</v>
      </c>
      <c r="AL21" s="428">
        <f>IF(AK21="","",SUM(AK21:AK22))</f>
        <v>1</v>
      </c>
      <c r="AM21" s="430" t="str">
        <f>VLOOKUP(AU21,$F$6:$Q$9,3,FALSE)</f>
        <v>高森み</v>
      </c>
      <c r="AN21" s="430" t="str">
        <f>IF($P$9=3,VLOOKUP(AM21,$G$6:$S$9,2,FALSE),"")</f>
        <v/>
      </c>
      <c r="AO21" s="430" t="str">
        <f>IF($P$9=3,VLOOKUP(AN21,$G$6:$S$9,2,FALSE),"")</f>
        <v/>
      </c>
      <c r="AP21" s="430" t="str">
        <f>IF($P$9=3,VLOOKUP(AO21,$G$6:$S$9,2,FALSE),"")</f>
        <v/>
      </c>
      <c r="AQ21" s="430" t="str">
        <f>IF($P$9=3,VLOOKUP(AP21,$G$6:$S$9,2,FALSE),"")</f>
        <v/>
      </c>
      <c r="AR21" s="432" t="str">
        <f>VLOOKUP(AU21,$F$6:$Q$9,12,FALSE)</f>
        <v>B8</v>
      </c>
      <c r="AS21" s="434" t="str">
        <f>IF($P$10=4,AU21,"")</f>
        <v/>
      </c>
      <c r="AT21" s="150">
        <v>3</v>
      </c>
      <c r="AU21" s="150">
        <v>8</v>
      </c>
      <c r="AV21" s="141" t="str">
        <f>AT21&amp;AU21</f>
        <v>38</v>
      </c>
      <c r="AW21" s="155">
        <f>IF(AI21="","",AI21)</f>
        <v>2</v>
      </c>
      <c r="AX21" s="155">
        <f>IF(AI22="","",AI22)</f>
        <v>4</v>
      </c>
      <c r="AY21" s="140"/>
    </row>
    <row r="22" spans="1:51" ht="13.5" customHeight="1" x14ac:dyDescent="0.15">
      <c r="A22" s="154" t="str">
        <f>IF(A21="","",WEEKDAY(A21))</f>
        <v/>
      </c>
      <c r="B22" s="160">
        <f>IF(B21="","",WEEKDAY(B21))</f>
        <v>7</v>
      </c>
      <c r="C22" s="439"/>
      <c r="D22" s="440"/>
      <c r="E22" s="440"/>
      <c r="F22" s="440"/>
      <c r="G22" s="440"/>
      <c r="H22" s="440"/>
      <c r="I22" s="440"/>
      <c r="J22" s="440"/>
      <c r="K22" s="440"/>
      <c r="L22" s="440"/>
      <c r="M22" s="440"/>
      <c r="N22" s="442"/>
      <c r="O22" s="442"/>
      <c r="P22" s="442"/>
      <c r="Q22" s="444"/>
      <c r="R22" s="444"/>
      <c r="S22" s="444"/>
      <c r="T22" s="444"/>
      <c r="U22" s="446"/>
      <c r="V22" s="446"/>
      <c r="W22" s="448"/>
      <c r="X22" s="448"/>
      <c r="Y22" s="448"/>
      <c r="Z22" s="448"/>
      <c r="AA22" s="450"/>
      <c r="AB22" s="452"/>
      <c r="AC22" s="425"/>
      <c r="AD22" s="425"/>
      <c r="AE22" s="425"/>
      <c r="AF22" s="425"/>
      <c r="AG22" s="425"/>
      <c r="AH22" s="427"/>
      <c r="AI22" s="151">
        <f>IF(日程・対戦記録表!Q44="","",日程・対戦記録表!Q44)</f>
        <v>4</v>
      </c>
      <c r="AJ22" s="152" t="s">
        <v>91</v>
      </c>
      <c r="AK22" s="151">
        <f>IF(日程・対戦記録表!R44="","",日程・対戦記録表!R44)</f>
        <v>1</v>
      </c>
      <c r="AL22" s="429"/>
      <c r="AM22" s="431"/>
      <c r="AN22" s="431"/>
      <c r="AO22" s="431"/>
      <c r="AP22" s="431"/>
      <c r="AQ22" s="431"/>
      <c r="AR22" s="433"/>
      <c r="AS22" s="435"/>
      <c r="AT22" s="150"/>
      <c r="AU22" s="150"/>
      <c r="AV22" s="141" t="str">
        <f>AU21&amp;AT21</f>
        <v>83</v>
      </c>
      <c r="AW22" s="149">
        <f>IF(AK21="","",AK21)</f>
        <v>0</v>
      </c>
      <c r="AX22" s="149">
        <f>IF(AK22="","",AK22)</f>
        <v>1</v>
      </c>
      <c r="AY22" s="140"/>
    </row>
    <row r="23" spans="1:51" ht="13.5" customHeight="1" x14ac:dyDescent="0.15">
      <c r="A23" s="159"/>
      <c r="B23" s="158">
        <f>[1]参加チーム!$J$5+1</f>
        <v>43673</v>
      </c>
      <c r="C23" s="437" t="str">
        <f>IF(MOD(N23,2)=0,"B","A")&amp;"　コート"</f>
        <v>B　コート</v>
      </c>
      <c r="D23" s="438"/>
      <c r="E23" s="438"/>
      <c r="F23" s="438"/>
      <c r="G23" s="438"/>
      <c r="H23" s="438"/>
      <c r="I23" s="438"/>
      <c r="J23" s="438"/>
      <c r="K23" s="438"/>
      <c r="L23" s="438"/>
      <c r="M23" s="438"/>
      <c r="N23" s="441">
        <v>24</v>
      </c>
      <c r="O23" s="441"/>
      <c r="P23" s="441"/>
      <c r="Q23" s="443" t="str">
        <f>VLOOKUP(N23,[1]リスト!$C$2:$F$34,2,FALSE)</f>
        <v>15：10</v>
      </c>
      <c r="R23" s="443"/>
      <c r="S23" s="443"/>
      <c r="T23" s="443"/>
      <c r="U23" s="445" t="s">
        <v>90</v>
      </c>
      <c r="V23" s="445"/>
      <c r="W23" s="447"/>
      <c r="X23" s="447"/>
      <c r="Y23" s="447"/>
      <c r="Z23" s="447"/>
      <c r="AA23" s="449" t="str">
        <f>IF($P$10=4,AT23,"")</f>
        <v/>
      </c>
      <c r="AB23" s="451" t="str">
        <f>VLOOKUP(AT23,$F$6:$Q$9,12,FALSE)</f>
        <v>B1</v>
      </c>
      <c r="AC23" s="424" t="str">
        <f>VLOOKUP(AT23,$F$6:$Q$9,3,FALSE)</f>
        <v>八頭中</v>
      </c>
      <c r="AD23" s="424" t="str">
        <f>IF($P$9=3,VLOOKUP(AC23,$G$6:$S$9,2,FALSE),"")</f>
        <v/>
      </c>
      <c r="AE23" s="424" t="str">
        <f>IF($P$9=3,VLOOKUP(AD23,$G$6:$S$9,2,FALSE),"")</f>
        <v/>
      </c>
      <c r="AF23" s="424" t="str">
        <f>IF($P$9=3,VLOOKUP(AE23,$G$6:$S$9,2,FALSE),"")</f>
        <v/>
      </c>
      <c r="AG23" s="424" t="str">
        <f>IF($P$9=3,VLOOKUP(AF23,$G$6:$S$9,2,FALSE),"")</f>
        <v/>
      </c>
      <c r="AH23" s="426">
        <f>IF(AI23="","",SUM(AI23:AI24))</f>
        <v>4</v>
      </c>
      <c r="AI23" s="156">
        <f>IF(日程・対戦記録表!AH43="","",日程・対戦記録表!AH43)</f>
        <v>2</v>
      </c>
      <c r="AJ23" s="157" t="s">
        <v>91</v>
      </c>
      <c r="AK23" s="156">
        <f>IF(日程・対戦記録表!AI43="","",日程・対戦記録表!AI43)</f>
        <v>1</v>
      </c>
      <c r="AL23" s="428">
        <f>IF(AK23="","",SUM(AK23:AK24))</f>
        <v>1</v>
      </c>
      <c r="AM23" s="430" t="str">
        <f>VLOOKUP(AU23,$F$6:$Q$9,3,FALSE)</f>
        <v>横田中</v>
      </c>
      <c r="AN23" s="430" t="str">
        <f>IF($P$9=3,VLOOKUP(AM23,$G$6:$S$9,2,FALSE),"")</f>
        <v/>
      </c>
      <c r="AO23" s="430" t="str">
        <f>IF($P$9=3,VLOOKUP(AN23,$G$6:$S$9,2,FALSE),"")</f>
        <v/>
      </c>
      <c r="AP23" s="430" t="str">
        <f>IF($P$9=3,VLOOKUP(AO23,$G$6:$S$9,2,FALSE),"")</f>
        <v/>
      </c>
      <c r="AQ23" s="430" t="str">
        <f>IF($P$9=3,VLOOKUP(AP23,$G$6:$S$9,2,FALSE),"")</f>
        <v/>
      </c>
      <c r="AR23" s="432" t="str">
        <f>VLOOKUP(AU23,$F$6:$Q$9,12,FALSE)</f>
        <v>B4</v>
      </c>
      <c r="AS23" s="434" t="str">
        <f>IF($P$10=4,AU23,"")</f>
        <v/>
      </c>
      <c r="AT23" s="150">
        <v>1</v>
      </c>
      <c r="AU23" s="150">
        <v>4</v>
      </c>
      <c r="AV23" s="141" t="str">
        <f>AT23&amp;AU23</f>
        <v>14</v>
      </c>
      <c r="AW23" s="155">
        <f>IF(AI23="","",AI23)</f>
        <v>2</v>
      </c>
      <c r="AX23" s="155">
        <f>IF(AI24="","",AI24)</f>
        <v>2</v>
      </c>
      <c r="AY23" s="140"/>
    </row>
    <row r="24" spans="1:51" ht="13.5" customHeight="1" x14ac:dyDescent="0.15">
      <c r="A24" s="154" t="str">
        <f>IF(A23="","",WEEKDAY(A23))</f>
        <v/>
      </c>
      <c r="B24" s="153">
        <f>IF(B23="","",WEEKDAY(B23))</f>
        <v>7</v>
      </c>
      <c r="C24" s="439"/>
      <c r="D24" s="440"/>
      <c r="E24" s="440"/>
      <c r="F24" s="440"/>
      <c r="G24" s="440"/>
      <c r="H24" s="440"/>
      <c r="I24" s="440"/>
      <c r="J24" s="440"/>
      <c r="K24" s="440"/>
      <c r="L24" s="440"/>
      <c r="M24" s="440"/>
      <c r="N24" s="442"/>
      <c r="O24" s="442"/>
      <c r="P24" s="442"/>
      <c r="Q24" s="444"/>
      <c r="R24" s="444"/>
      <c r="S24" s="444"/>
      <c r="T24" s="444"/>
      <c r="U24" s="446"/>
      <c r="V24" s="446"/>
      <c r="W24" s="448"/>
      <c r="X24" s="448"/>
      <c r="Y24" s="448"/>
      <c r="Z24" s="448"/>
      <c r="AA24" s="450"/>
      <c r="AB24" s="452"/>
      <c r="AC24" s="425"/>
      <c r="AD24" s="425"/>
      <c r="AE24" s="425"/>
      <c r="AF24" s="425"/>
      <c r="AG24" s="425"/>
      <c r="AH24" s="427"/>
      <c r="AI24" s="151">
        <f>IF(日程・対戦記録表!AH44="","",日程・対戦記録表!AH44)</f>
        <v>2</v>
      </c>
      <c r="AJ24" s="152" t="s">
        <v>91</v>
      </c>
      <c r="AK24" s="151">
        <f>IF(日程・対戦記録表!AI44="","",日程・対戦記録表!AI44)</f>
        <v>0</v>
      </c>
      <c r="AL24" s="429"/>
      <c r="AM24" s="431"/>
      <c r="AN24" s="431"/>
      <c r="AO24" s="431"/>
      <c r="AP24" s="431"/>
      <c r="AQ24" s="431"/>
      <c r="AR24" s="433"/>
      <c r="AS24" s="435"/>
      <c r="AT24" s="150"/>
      <c r="AU24" s="150"/>
      <c r="AV24" s="141" t="str">
        <f>AU23&amp;AT23</f>
        <v>41</v>
      </c>
      <c r="AW24" s="149">
        <f>IF(AK23="","",AK23)</f>
        <v>1</v>
      </c>
      <c r="AX24" s="149">
        <f>IF(AK24="","",AK24)</f>
        <v>0</v>
      </c>
      <c r="AY24" s="140"/>
    </row>
    <row r="25" spans="1:51" ht="34.5" customHeight="1" x14ac:dyDescent="0.2">
      <c r="A25" s="141"/>
      <c r="B25" s="455"/>
      <c r="C25" s="455"/>
      <c r="D25" s="455"/>
      <c r="E25" s="455"/>
      <c r="F25" s="455"/>
      <c r="G25" s="455"/>
      <c r="H25" s="455"/>
      <c r="I25" s="455"/>
      <c r="J25" s="455"/>
      <c r="K25" s="455"/>
      <c r="L25" s="455"/>
      <c r="M25" s="455"/>
      <c r="N25" s="455"/>
      <c r="O25" s="455"/>
      <c r="P25" s="455"/>
      <c r="Q25" s="455"/>
      <c r="R25" s="455"/>
      <c r="S25" s="455"/>
      <c r="T25" s="455"/>
      <c r="U25" s="455"/>
      <c r="V25" s="455"/>
      <c r="W25" s="455"/>
      <c r="X25" s="455"/>
      <c r="Y25" s="455"/>
      <c r="Z25" s="455"/>
      <c r="AA25" s="455"/>
      <c r="AB25" s="455"/>
      <c r="AC25" s="455"/>
      <c r="AD25" s="455"/>
      <c r="AE25" s="455"/>
      <c r="AF25" s="455"/>
      <c r="AG25" s="455"/>
      <c r="AH25" s="455"/>
      <c r="AI25" s="455"/>
      <c r="AJ25" s="455"/>
      <c r="AK25" s="455"/>
      <c r="AL25" s="455"/>
      <c r="AM25" s="455"/>
      <c r="AN25" s="455"/>
      <c r="AO25" s="455"/>
      <c r="AP25" s="455"/>
      <c r="AQ25" s="455"/>
      <c r="AR25" s="455"/>
      <c r="AS25" s="148"/>
      <c r="AT25" s="141"/>
      <c r="AU25" s="141"/>
      <c r="AV25" s="141"/>
      <c r="AW25" s="141"/>
      <c r="AX25" s="141"/>
      <c r="AY25" s="140"/>
    </row>
    <row r="26" spans="1:51" ht="12" customHeight="1" x14ac:dyDescent="0.2">
      <c r="A26" s="147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6"/>
      <c r="AK26" s="145"/>
      <c r="AL26" s="145"/>
      <c r="AM26" s="145"/>
      <c r="AN26" s="145"/>
      <c r="AO26" s="145"/>
      <c r="AP26" s="145"/>
      <c r="AQ26" s="145"/>
      <c r="AR26" s="145"/>
      <c r="AS26" s="144"/>
      <c r="AT26" s="141"/>
      <c r="AU26" s="141"/>
      <c r="AV26" s="141"/>
      <c r="AW26" s="141"/>
      <c r="AX26" s="141"/>
      <c r="AY26" s="140"/>
    </row>
    <row r="27" spans="1:51" ht="15" hidden="1" customHeight="1" x14ac:dyDescent="0.15">
      <c r="A27" s="141"/>
      <c r="B27" s="142"/>
      <c r="C27" s="456" t="str">
        <f>A29</f>
        <v/>
      </c>
      <c r="D27" s="456"/>
      <c r="E27" s="456"/>
      <c r="F27" s="456"/>
      <c r="G27" s="456"/>
      <c r="H27" s="456" t="str">
        <f>A32</f>
        <v/>
      </c>
      <c r="I27" s="456"/>
      <c r="J27" s="456"/>
      <c r="K27" s="456"/>
      <c r="L27" s="456"/>
      <c r="M27" s="457" t="str">
        <f>A35</f>
        <v/>
      </c>
      <c r="N27" s="457"/>
      <c r="O27" s="457"/>
      <c r="P27" s="457"/>
      <c r="Q27" s="457"/>
      <c r="R27" s="457" t="str">
        <f>A38</f>
        <v/>
      </c>
      <c r="S27" s="457"/>
      <c r="T27" s="457"/>
      <c r="U27" s="457"/>
      <c r="V27" s="457"/>
      <c r="W27" s="457">
        <f>A41</f>
        <v>0</v>
      </c>
      <c r="X27" s="457"/>
      <c r="Y27" s="457"/>
      <c r="Z27" s="457"/>
      <c r="AA27" s="457"/>
      <c r="AB27" s="143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1"/>
      <c r="AT27" s="141"/>
      <c r="AU27" s="141"/>
      <c r="AV27" s="141"/>
      <c r="AW27" s="141"/>
      <c r="AX27" s="141"/>
      <c r="AY27" s="140"/>
    </row>
    <row r="28" spans="1:51" s="123" customFormat="1" ht="14.25" customHeight="1" x14ac:dyDescent="0.15">
      <c r="A28" s="139"/>
      <c r="B28" s="138" t="s">
        <v>92</v>
      </c>
      <c r="C28" s="475" t="str">
        <f>LEFT(B29,8)</f>
        <v>八頭中</v>
      </c>
      <c r="D28" s="475"/>
      <c r="E28" s="475"/>
      <c r="F28" s="475"/>
      <c r="G28" s="475"/>
      <c r="H28" s="475" t="str">
        <f>LEFT(B32,8)</f>
        <v>磐梨中</v>
      </c>
      <c r="I28" s="475"/>
      <c r="J28" s="475"/>
      <c r="K28" s="475"/>
      <c r="L28" s="475"/>
      <c r="M28" s="475" t="str">
        <f>LEFT(B35,8)</f>
        <v>横田中</v>
      </c>
      <c r="N28" s="475"/>
      <c r="O28" s="475"/>
      <c r="P28" s="475"/>
      <c r="Q28" s="475"/>
      <c r="R28" s="475" t="str">
        <f>LEFT(B38,8)</f>
        <v>高森み</v>
      </c>
      <c r="S28" s="475"/>
      <c r="T28" s="475"/>
      <c r="U28" s="475"/>
      <c r="V28" s="475"/>
      <c r="W28" s="476" t="str">
        <f>LEFT(B41,8)</f>
        <v/>
      </c>
      <c r="X28" s="477"/>
      <c r="Y28" s="477"/>
      <c r="Z28" s="477"/>
      <c r="AA28" s="477"/>
      <c r="AB28" s="478" t="s">
        <v>53</v>
      </c>
      <c r="AC28" s="479"/>
      <c r="AD28" s="473" t="s">
        <v>52</v>
      </c>
      <c r="AE28" s="474"/>
      <c r="AF28" s="473" t="s">
        <v>51</v>
      </c>
      <c r="AG28" s="474"/>
      <c r="AH28" s="473" t="s">
        <v>50</v>
      </c>
      <c r="AI28" s="474"/>
      <c r="AJ28" s="473" t="s">
        <v>49</v>
      </c>
      <c r="AK28" s="474"/>
      <c r="AL28" s="473" t="s">
        <v>48</v>
      </c>
      <c r="AM28" s="474"/>
      <c r="AN28" s="473" t="s">
        <v>47</v>
      </c>
      <c r="AO28" s="474"/>
      <c r="AP28" s="458" t="s">
        <v>46</v>
      </c>
      <c r="AQ28" s="458"/>
      <c r="AR28" s="458"/>
      <c r="AS28" s="137" t="s">
        <v>45</v>
      </c>
      <c r="AT28" s="125"/>
      <c r="AU28" s="125"/>
      <c r="AV28" s="125"/>
      <c r="AW28" s="134" t="s">
        <v>44</v>
      </c>
      <c r="AX28" s="124"/>
      <c r="AY28" s="124"/>
    </row>
    <row r="29" spans="1:51" s="123" customFormat="1" ht="13.5" customHeight="1" x14ac:dyDescent="0.15">
      <c r="A29" s="459" t="str">
        <f>IF($P$10=4,AT4,"")</f>
        <v/>
      </c>
      <c r="B29" s="462" t="str">
        <f>IF(H6="","",LEFT(H6,10))</f>
        <v>八頭中</v>
      </c>
      <c r="C29" s="465"/>
      <c r="D29" s="132"/>
      <c r="E29" s="132"/>
      <c r="F29" s="132"/>
      <c r="G29" s="467"/>
      <c r="H29" s="469">
        <f>IF(AND(I29="",I30=""),"",SUM(I29:I30))</f>
        <v>6</v>
      </c>
      <c r="I29" s="136">
        <f>AI13</f>
        <v>3</v>
      </c>
      <c r="J29" s="136" t="s">
        <v>43</v>
      </c>
      <c r="K29" s="136">
        <f>AK13</f>
        <v>1</v>
      </c>
      <c r="L29" s="471">
        <f>IF(AND(K29="",K30=""),"",SUM(K29:K30))</f>
        <v>2</v>
      </c>
      <c r="M29" s="469">
        <f>IF(AND(N29="",N30=""),"",SUM(N29:N30))</f>
        <v>4</v>
      </c>
      <c r="N29" s="136">
        <f>AI23</f>
        <v>2</v>
      </c>
      <c r="O29" s="136" t="s">
        <v>43</v>
      </c>
      <c r="P29" s="136">
        <f>AK23</f>
        <v>1</v>
      </c>
      <c r="Q29" s="471">
        <f>IF(AND(P29="",P30=""),"",SUM(P29:P30))</f>
        <v>1</v>
      </c>
      <c r="R29" s="469">
        <f>IF(AND(S29="",S30=""),"",SUM(S29:S30))</f>
        <v>17</v>
      </c>
      <c r="S29" s="136">
        <f>AI19</f>
        <v>7</v>
      </c>
      <c r="T29" s="136" t="s">
        <v>43</v>
      </c>
      <c r="U29" s="136">
        <f>AK19</f>
        <v>0</v>
      </c>
      <c r="V29" s="471">
        <f>IF(AND(U29="",U30=""),"",SUM(U29:U30))</f>
        <v>0</v>
      </c>
      <c r="W29" s="497" t="str">
        <f>IF(AND(X29="",X30=""),"",SUM(X29:X30))</f>
        <v/>
      </c>
      <c r="X29" s="131" t="str">
        <f>IF(W$30="","",VLOOKUP($A$31&amp;W$29,$AV$15:$AX$26,2,FALSE))</f>
        <v/>
      </c>
      <c r="Y29" s="131"/>
      <c r="Z29" s="131" t="str">
        <f>IF(W$30="","",VLOOKUP(W$29&amp;$A$31,$AV$15:$AX$26,2,FALSE))</f>
        <v/>
      </c>
      <c r="AA29" s="499" t="str">
        <f>IF(AND(Z29="",Z30=""),"",SUM(Z29:Z30))</f>
        <v/>
      </c>
      <c r="AB29" s="501">
        <f>IF(AND($C31="",$H31="",$M31="",$R31="",$W31=""),"",SUM(3*AD29,1*AF29))</f>
        <v>9</v>
      </c>
      <c r="AC29" s="502"/>
      <c r="AD29" s="503">
        <f>IF(AND($C31="",$H31="",$M31="",$R31="",$W31=""),"",COUNTIF($C31:$AA31,"○"))</f>
        <v>3</v>
      </c>
      <c r="AE29" s="503"/>
      <c r="AF29" s="503">
        <f>IF(AND($C31="",$H31="",$M31="",$R31="",$W31=""),"",COUNTIF($C31:$AA31,"△"))</f>
        <v>0</v>
      </c>
      <c r="AG29" s="503"/>
      <c r="AH29" s="503">
        <f>IF(AND($C31="",$H31="",$M31="",$R31="",$W31=""),"",COUNTIF($C31:$AA31,"●"))</f>
        <v>0</v>
      </c>
      <c r="AI29" s="503"/>
      <c r="AJ29" s="480">
        <f>IF(AND(C29="",H29="",M29="",R29="",W29=""),"",SUM(C29,H29,M29,R29,W29))</f>
        <v>27</v>
      </c>
      <c r="AK29" s="481"/>
      <c r="AL29" s="485">
        <f>IF(AND(G29="",L29="",Q29="",V29="",AA29=""),"",SUM(G29,L29,Q29,V29,AA29))</f>
        <v>3</v>
      </c>
      <c r="AM29" s="481"/>
      <c r="AN29" s="485">
        <f>IF(OR(AJ29="",AL29=""),"",AJ29-AL29)</f>
        <v>24</v>
      </c>
      <c r="AO29" s="481"/>
      <c r="AP29" s="488">
        <f>IF(OR($AI$18="",$AK$18=""),"",RANK(AS29,$AS$29:$AS$40))</f>
        <v>1</v>
      </c>
      <c r="AQ29" s="488"/>
      <c r="AR29" s="488"/>
      <c r="AS29" s="130">
        <f>SUM($AB29*10000,$AD29*1000,$AN29*100,$AJ29)</f>
        <v>95427</v>
      </c>
      <c r="AT29" s="125" t="str">
        <f>B29</f>
        <v>八頭中</v>
      </c>
      <c r="AU29" s="125"/>
      <c r="AV29" s="125"/>
      <c r="AW29" s="134">
        <v>1</v>
      </c>
      <c r="AX29" s="133" t="str">
        <f>IF($AP$29="","",VLOOKUP(AW29,$AP$29:$AU$40,5,FALSE))</f>
        <v>八頭中</v>
      </c>
      <c r="AY29" s="133" t="str">
        <f>VLOOKUP(AX29,$H$6:$Q$9,10,FALSE)</f>
        <v>B1</v>
      </c>
    </row>
    <row r="30" spans="1:51" s="123" customFormat="1" ht="13.5" customHeight="1" x14ac:dyDescent="0.15">
      <c r="A30" s="460"/>
      <c r="B30" s="463"/>
      <c r="C30" s="466"/>
      <c r="D30" s="129"/>
      <c r="E30" s="129"/>
      <c r="F30" s="129"/>
      <c r="G30" s="468"/>
      <c r="H30" s="470"/>
      <c r="I30" s="135">
        <f>AI14</f>
        <v>3</v>
      </c>
      <c r="J30" s="135" t="s">
        <v>43</v>
      </c>
      <c r="K30" s="135">
        <f>AK14</f>
        <v>1</v>
      </c>
      <c r="L30" s="472"/>
      <c r="M30" s="470"/>
      <c r="N30" s="135">
        <f>AI24</f>
        <v>2</v>
      </c>
      <c r="O30" s="135" t="s">
        <v>43</v>
      </c>
      <c r="P30" s="135">
        <f>AK24</f>
        <v>0</v>
      </c>
      <c r="Q30" s="472"/>
      <c r="R30" s="470"/>
      <c r="S30" s="135">
        <f>AI20</f>
        <v>10</v>
      </c>
      <c r="T30" s="135" t="s">
        <v>43</v>
      </c>
      <c r="U30" s="135">
        <f>AK20</f>
        <v>0</v>
      </c>
      <c r="V30" s="472"/>
      <c r="W30" s="498"/>
      <c r="X30" s="128" t="str">
        <f>IF(W$30="","",VLOOKUP($A$31&amp;W$29,$AV$15:$AX$26,3,FALSE))</f>
        <v/>
      </c>
      <c r="Y30" s="128"/>
      <c r="Z30" s="128" t="str">
        <f>IF(W$30="","",VLOOKUP(W$29&amp;$A$31,$AV$15:$AX$26,3,FALSE))</f>
        <v/>
      </c>
      <c r="AA30" s="500"/>
      <c r="AB30" s="501"/>
      <c r="AC30" s="502"/>
      <c r="AD30" s="503"/>
      <c r="AE30" s="503"/>
      <c r="AF30" s="503"/>
      <c r="AG30" s="503"/>
      <c r="AH30" s="503"/>
      <c r="AI30" s="503"/>
      <c r="AJ30" s="482"/>
      <c r="AK30" s="483"/>
      <c r="AL30" s="486"/>
      <c r="AM30" s="483"/>
      <c r="AN30" s="486"/>
      <c r="AO30" s="483"/>
      <c r="AP30" s="488"/>
      <c r="AQ30" s="488"/>
      <c r="AR30" s="488"/>
      <c r="AS30" s="127"/>
      <c r="AT30" s="125"/>
      <c r="AU30" s="125"/>
      <c r="AV30" s="125"/>
      <c r="AW30" s="134">
        <v>2</v>
      </c>
      <c r="AX30" s="133" t="str">
        <f>IF($AP$29="","",VLOOKUP(AW30,$AP$29:$AU$40,5,FALSE))</f>
        <v>横田中</v>
      </c>
      <c r="AY30" s="133" t="str">
        <f>VLOOKUP(AX30,$H$6:$Q$9,10,FALSE)</f>
        <v>B4</v>
      </c>
    </row>
    <row r="31" spans="1:51" s="123" customFormat="1" ht="18" customHeight="1" x14ac:dyDescent="0.15">
      <c r="A31" s="461"/>
      <c r="B31" s="464"/>
      <c r="C31" s="489"/>
      <c r="D31" s="490"/>
      <c r="E31" s="490"/>
      <c r="F31" s="490"/>
      <c r="G31" s="491"/>
      <c r="H31" s="492" t="str">
        <f>IF(OR(H29="",L29=""),"",IF(H29&gt;L29,"○",IF(H29=L29,"△",IF(H29&lt;L29,"☓",""))))</f>
        <v>○</v>
      </c>
      <c r="I31" s="493"/>
      <c r="J31" s="493"/>
      <c r="K31" s="493"/>
      <c r="L31" s="494"/>
      <c r="M31" s="492" t="str">
        <f>IF(OR(M29="",Q29=""),"",IF(M29&gt;Q29,"○",IF(M29=Q29,"△",IF(M29&lt;Q29,"☓",""))))</f>
        <v>○</v>
      </c>
      <c r="N31" s="493"/>
      <c r="O31" s="493"/>
      <c r="P31" s="493"/>
      <c r="Q31" s="494"/>
      <c r="R31" s="492" t="str">
        <f>IF(OR(R29="",V29=""),"",IF(R29&gt;V29,"○",IF(R29=V29,"△",IF(R29&lt;V29,"☓",""))))</f>
        <v>○</v>
      </c>
      <c r="S31" s="493"/>
      <c r="T31" s="493"/>
      <c r="U31" s="493"/>
      <c r="V31" s="494"/>
      <c r="W31" s="495" t="str">
        <f>IF(OR(W29="",AA29=""),"",IF(W29&gt;AA29,"○",IF(W29=AA29,"△",IF(W29&lt;AA29,"●",""))))</f>
        <v/>
      </c>
      <c r="X31" s="496"/>
      <c r="Y31" s="496"/>
      <c r="Z31" s="496"/>
      <c r="AA31" s="496"/>
      <c r="AB31" s="501"/>
      <c r="AC31" s="502"/>
      <c r="AD31" s="503"/>
      <c r="AE31" s="503"/>
      <c r="AF31" s="503"/>
      <c r="AG31" s="503"/>
      <c r="AH31" s="503"/>
      <c r="AI31" s="503"/>
      <c r="AJ31" s="409"/>
      <c r="AK31" s="484"/>
      <c r="AL31" s="487"/>
      <c r="AM31" s="484"/>
      <c r="AN31" s="487"/>
      <c r="AO31" s="484"/>
      <c r="AP31" s="488"/>
      <c r="AQ31" s="488"/>
      <c r="AR31" s="488"/>
      <c r="AS31" s="126"/>
      <c r="AT31" s="125">
        <f>B31</f>
        <v>0</v>
      </c>
      <c r="AU31" s="125"/>
      <c r="AV31" s="125"/>
      <c r="AW31" s="134">
        <v>3</v>
      </c>
      <c r="AX31" s="133" t="str">
        <f>IF($AP$29="","",VLOOKUP(AW31,$AP$29:$AU$40,5,FALSE))</f>
        <v>磐梨中</v>
      </c>
      <c r="AY31" s="133" t="str">
        <f>VLOOKUP(AX31,$H$6:$Q$9,10,FALSE)</f>
        <v>B5</v>
      </c>
    </row>
    <row r="32" spans="1:51" s="123" customFormat="1" ht="13.5" customHeight="1" x14ac:dyDescent="0.15">
      <c r="A32" s="459" t="str">
        <f>IF($P$10&gt;1,AT5,"")</f>
        <v/>
      </c>
      <c r="B32" s="462" t="str">
        <f>IF(H7="","",LEFT(H7,10))</f>
        <v>磐梨中</v>
      </c>
      <c r="C32" s="497">
        <f>IF(AND(D32="",D33=""),"",SUM(D32:D33))</f>
        <v>2</v>
      </c>
      <c r="D32" s="131">
        <f>AK13</f>
        <v>1</v>
      </c>
      <c r="E32" s="131" t="s">
        <v>43</v>
      </c>
      <c r="F32" s="131">
        <f>AI13</f>
        <v>3</v>
      </c>
      <c r="G32" s="504">
        <f>IF(AND(F32="",F33=""),"",SUM(F32:F33))</f>
        <v>6</v>
      </c>
      <c r="H32" s="465"/>
      <c r="I32" s="132"/>
      <c r="J32" s="132"/>
      <c r="K32" s="132"/>
      <c r="L32" s="467"/>
      <c r="M32" s="497">
        <f>IF(AND(N32="",N33=""),"",SUM(N32:N33))</f>
        <v>0</v>
      </c>
      <c r="N32" s="131">
        <f>AI17</f>
        <v>0</v>
      </c>
      <c r="O32" s="131" t="s">
        <v>43</v>
      </c>
      <c r="P32" s="131">
        <f>AK17</f>
        <v>8</v>
      </c>
      <c r="Q32" s="504">
        <f>IF(AND(P32="",P33=""),"",SUM(P32:P33))</f>
        <v>15</v>
      </c>
      <c r="R32" s="497">
        <f>IF(AND(S32="",S33=""),"",SUM(S32:S33))</f>
        <v>6</v>
      </c>
      <c r="S32" s="131">
        <f>AI21</f>
        <v>2</v>
      </c>
      <c r="T32" s="131" t="s">
        <v>43</v>
      </c>
      <c r="U32" s="131">
        <f>AK21</f>
        <v>0</v>
      </c>
      <c r="V32" s="504">
        <f>IF(AND(U32="",U33=""),"",SUM(U32:U33))</f>
        <v>1</v>
      </c>
      <c r="W32" s="497" t="str">
        <f>IF(AND(X32="",X33=""),"",SUM(X32:X33))</f>
        <v/>
      </c>
      <c r="X32" s="131" t="str">
        <f>IF(W$30="","",VLOOKUP($A$34&amp;W$29,$AV$15:$AX$26,2,FALSE))</f>
        <v/>
      </c>
      <c r="Y32" s="131"/>
      <c r="Z32" s="131" t="str">
        <f>IF(W$30="","",VLOOKUP(W$29&amp;$A$34,$AV$15:$AX$26,2,FALSE))</f>
        <v/>
      </c>
      <c r="AA32" s="499" t="str">
        <f>IF(AND(Z32="",Z33=""),"",SUM(Z32:Z33))</f>
        <v/>
      </c>
      <c r="AB32" s="501">
        <f>IF(AND($C34="",$H34="",$M34="",$R34="",$W34=""),"",SUM(3*AD32,1*AF32))</f>
        <v>3</v>
      </c>
      <c r="AC32" s="502"/>
      <c r="AD32" s="503">
        <f>IF(AND($C34="",$H34="",$M34="",$R34="",$W34=""),"",COUNTIF($C34:$AA34,"○"))</f>
        <v>1</v>
      </c>
      <c r="AE32" s="503"/>
      <c r="AF32" s="503">
        <f>IF(AND($C34="",$H34="",$M34="",$R34="",$W34=""),"",COUNTIF($C34:$AA34,"△"))</f>
        <v>0</v>
      </c>
      <c r="AG32" s="503"/>
      <c r="AH32" s="503">
        <f>IF(AND($C34="",$H34="",$M34="",$R34="",$W34=""),"",COUNTIF($C34:$AA34,"●"))</f>
        <v>0</v>
      </c>
      <c r="AI32" s="503"/>
      <c r="AJ32" s="480">
        <f>IF(AND(C32="",H32="",M32="",R32="",W32=""),"",SUM(C32,H32,M32,R32,W32))</f>
        <v>8</v>
      </c>
      <c r="AK32" s="481"/>
      <c r="AL32" s="485">
        <f>IF(AND(G32="",L32="",Q32="",V32="",AA32=""),"",SUM(G32,L32,Q32,V32,AA32))</f>
        <v>22</v>
      </c>
      <c r="AM32" s="481"/>
      <c r="AN32" s="485">
        <f>IF(OR(AJ32="",AL32=""),"",AJ32-AL32)</f>
        <v>-14</v>
      </c>
      <c r="AO32" s="481"/>
      <c r="AP32" s="488">
        <f>IF(OR($AI$18="",$AK$18=""),"",RANK(AS32,$AS$29:$AS$40))</f>
        <v>3</v>
      </c>
      <c r="AQ32" s="488"/>
      <c r="AR32" s="488"/>
      <c r="AS32" s="130">
        <f>SUM($AB32*10000,$AD32*1000,$AN32*100,$AJ32)</f>
        <v>29608</v>
      </c>
      <c r="AT32" s="125" t="str">
        <f>B32</f>
        <v>磐梨中</v>
      </c>
      <c r="AU32" s="125"/>
      <c r="AV32" s="125"/>
      <c r="AW32" s="134">
        <v>4</v>
      </c>
      <c r="AX32" s="133" t="str">
        <f>IF($AP$29="","",VLOOKUP(AW32,$AP$29:$AU$40,5,FALSE))</f>
        <v>高森み</v>
      </c>
      <c r="AY32" s="133" t="str">
        <f>VLOOKUP(AX32,$H$6:$Q$9,10,FALSE)</f>
        <v>B8</v>
      </c>
    </row>
    <row r="33" spans="1:51" s="123" customFormat="1" ht="13.5" customHeight="1" x14ac:dyDescent="0.15">
      <c r="A33" s="460"/>
      <c r="B33" s="463"/>
      <c r="C33" s="498"/>
      <c r="D33" s="128">
        <f>AK14</f>
        <v>1</v>
      </c>
      <c r="E33" s="128" t="s">
        <v>43</v>
      </c>
      <c r="F33" s="128">
        <f>AI14</f>
        <v>3</v>
      </c>
      <c r="G33" s="505"/>
      <c r="H33" s="466"/>
      <c r="I33" s="129"/>
      <c r="J33" s="129"/>
      <c r="K33" s="129"/>
      <c r="L33" s="468"/>
      <c r="M33" s="498"/>
      <c r="N33" s="128">
        <f>AI18</f>
        <v>0</v>
      </c>
      <c r="O33" s="128" t="s">
        <v>43</v>
      </c>
      <c r="P33" s="128">
        <f>AK18</f>
        <v>7</v>
      </c>
      <c r="Q33" s="505"/>
      <c r="R33" s="498"/>
      <c r="S33" s="128">
        <f>AI22</f>
        <v>4</v>
      </c>
      <c r="T33" s="128" t="s">
        <v>43</v>
      </c>
      <c r="U33" s="128">
        <f>AK22</f>
        <v>1</v>
      </c>
      <c r="V33" s="505"/>
      <c r="W33" s="498"/>
      <c r="X33" s="128" t="str">
        <f>IF(W$30="","",VLOOKUP($A$34&amp;W$29,$AV$15:$AX$26,3,FALSE))</f>
        <v/>
      </c>
      <c r="Y33" s="128"/>
      <c r="Z33" s="128" t="str">
        <f>IF(W$30="","",VLOOKUP(W$29&amp;$A$34,$AV$15:$AX$26,3,FALSE))</f>
        <v/>
      </c>
      <c r="AA33" s="500"/>
      <c r="AB33" s="501"/>
      <c r="AC33" s="502"/>
      <c r="AD33" s="503"/>
      <c r="AE33" s="503"/>
      <c r="AF33" s="503"/>
      <c r="AG33" s="503"/>
      <c r="AH33" s="503"/>
      <c r="AI33" s="503"/>
      <c r="AJ33" s="482"/>
      <c r="AK33" s="483"/>
      <c r="AL33" s="486"/>
      <c r="AM33" s="483"/>
      <c r="AN33" s="486"/>
      <c r="AO33" s="483"/>
      <c r="AP33" s="488"/>
      <c r="AQ33" s="488"/>
      <c r="AR33" s="488"/>
      <c r="AS33" s="127"/>
      <c r="AT33" s="125"/>
      <c r="AU33" s="125"/>
      <c r="AV33" s="125"/>
      <c r="AW33" s="125"/>
      <c r="AX33" s="124"/>
      <c r="AY33" s="124"/>
    </row>
    <row r="34" spans="1:51" s="123" customFormat="1" ht="18" customHeight="1" x14ac:dyDescent="0.15">
      <c r="A34" s="461"/>
      <c r="B34" s="464"/>
      <c r="C34" s="495" t="str">
        <f>IF(OR(C32="",G32=""),"",IF(C32&gt;G32,"○",IF(C32=G32,"△",IF(C32&lt;G32,"☓",""))))</f>
        <v>☓</v>
      </c>
      <c r="D34" s="496"/>
      <c r="E34" s="496"/>
      <c r="F34" s="496"/>
      <c r="G34" s="506"/>
      <c r="H34" s="489"/>
      <c r="I34" s="490"/>
      <c r="J34" s="490"/>
      <c r="K34" s="490"/>
      <c r="L34" s="491"/>
      <c r="M34" s="495" t="str">
        <f>IF(OR(M32="",Q32=""),"",IF(M32&gt;Q32,"○",IF(M32=Q32,"△",IF(M32&lt;Q32,"☓",""))))</f>
        <v>☓</v>
      </c>
      <c r="N34" s="496"/>
      <c r="O34" s="496"/>
      <c r="P34" s="496"/>
      <c r="Q34" s="506"/>
      <c r="R34" s="495" t="str">
        <f>IF(OR(R32="",V32=""),"",IF(R32&gt;V32,"○",IF(R32=V32,"△",IF(R32&lt;V32,"☓",""))))</f>
        <v>○</v>
      </c>
      <c r="S34" s="496"/>
      <c r="T34" s="496"/>
      <c r="U34" s="496"/>
      <c r="V34" s="506"/>
      <c r="W34" s="495" t="str">
        <f>IF(OR(W32="",AA32=""),"",IF(W32&gt;AA32,"○",IF(W32=AA32,"△",IF(W32&lt;AA32,"●",""))))</f>
        <v/>
      </c>
      <c r="X34" s="496"/>
      <c r="Y34" s="496"/>
      <c r="Z34" s="496"/>
      <c r="AA34" s="496"/>
      <c r="AB34" s="501"/>
      <c r="AC34" s="502"/>
      <c r="AD34" s="503"/>
      <c r="AE34" s="503"/>
      <c r="AF34" s="503"/>
      <c r="AG34" s="503"/>
      <c r="AH34" s="503"/>
      <c r="AI34" s="503"/>
      <c r="AJ34" s="409"/>
      <c r="AK34" s="484"/>
      <c r="AL34" s="487"/>
      <c r="AM34" s="484"/>
      <c r="AN34" s="487"/>
      <c r="AO34" s="484"/>
      <c r="AP34" s="488"/>
      <c r="AQ34" s="488"/>
      <c r="AR34" s="488"/>
      <c r="AS34" s="126"/>
      <c r="AT34" s="125">
        <f>B34</f>
        <v>0</v>
      </c>
      <c r="AU34" s="125"/>
      <c r="AV34" s="125"/>
      <c r="AW34" s="125"/>
      <c r="AX34" s="124"/>
      <c r="AY34" s="124"/>
    </row>
    <row r="35" spans="1:51" s="123" customFormat="1" ht="13.5" customHeight="1" x14ac:dyDescent="0.15">
      <c r="A35" s="459" t="str">
        <f>IF($P$10&gt;2,AT6,"")</f>
        <v/>
      </c>
      <c r="B35" s="462" t="str">
        <f>IF(H8="","",LEFT(H8,10))</f>
        <v>横田中</v>
      </c>
      <c r="C35" s="497">
        <f>IF(AND(D35="",D36=""),"",SUM(D35:D36))</f>
        <v>1</v>
      </c>
      <c r="D35" s="131">
        <f>AK23</f>
        <v>1</v>
      </c>
      <c r="E35" s="131" t="s">
        <v>43</v>
      </c>
      <c r="F35" s="131">
        <f>AI23</f>
        <v>2</v>
      </c>
      <c r="G35" s="504">
        <f>IF(AND(F35="",F36=""),"",SUM(F35:F36))</f>
        <v>4</v>
      </c>
      <c r="H35" s="497">
        <f>IF(AND(I35="",I36=""),"",SUM(I35:I36))</f>
        <v>15</v>
      </c>
      <c r="I35" s="131">
        <f>AK17</f>
        <v>8</v>
      </c>
      <c r="J35" s="131" t="s">
        <v>43</v>
      </c>
      <c r="K35" s="131">
        <f>AI17</f>
        <v>0</v>
      </c>
      <c r="L35" s="504">
        <f>IF(AND(K35="",K36=""),"",SUM(K35:K36))</f>
        <v>0</v>
      </c>
      <c r="M35" s="465"/>
      <c r="N35" s="132"/>
      <c r="O35" s="132"/>
      <c r="P35" s="132"/>
      <c r="Q35" s="467"/>
      <c r="R35" s="497">
        <f>IF(AND(S35="",S36=""),"",SUM(S35:S36))</f>
        <v>20</v>
      </c>
      <c r="S35" s="131">
        <f>AI15</f>
        <v>8</v>
      </c>
      <c r="T35" s="131" t="s">
        <v>43</v>
      </c>
      <c r="U35" s="131">
        <f>AK15</f>
        <v>0</v>
      </c>
      <c r="V35" s="504">
        <f>IF(AND(U35="",U36=""),"",SUM(U35:U36))</f>
        <v>0</v>
      </c>
      <c r="W35" s="497" t="str">
        <f>IF(AND(X35="",X36=""),"",SUM(X35:X36))</f>
        <v/>
      </c>
      <c r="X35" s="131" t="str">
        <f>IF(W$30="","",VLOOKUP($A$37&amp;W$29,$AV$15:$AX$26,2,FALSE))</f>
        <v/>
      </c>
      <c r="Y35" s="131"/>
      <c r="Z35" s="131" t="str">
        <f>IF(W$30="","",VLOOKUP(W$29&amp;$A$37,$AV$15:$AX$26,2,FALSE))</f>
        <v/>
      </c>
      <c r="AA35" s="499" t="str">
        <f>IF(AND(Z35="",Z36=""),"",SUM(Z35:Z36))</f>
        <v/>
      </c>
      <c r="AB35" s="501">
        <f>IF(AND($C37="",$H37="",$M37="",$R37="",$W37=""),"",SUM(3*AD35,1*AF35))</f>
        <v>6</v>
      </c>
      <c r="AC35" s="502"/>
      <c r="AD35" s="503">
        <f>IF(AND($C37="",$H37="",$M37="",$R37="",$W37=""),"",COUNTIF($C37:$AA37,"○"))</f>
        <v>2</v>
      </c>
      <c r="AE35" s="503"/>
      <c r="AF35" s="503">
        <f>IF(AND($C37="",$H37="",$M37="",$R37="",$W37=""),"",COUNTIF($C37:$AA37,"△"))</f>
        <v>0</v>
      </c>
      <c r="AG35" s="503"/>
      <c r="AH35" s="503">
        <f>IF(AND($C37="",$H37="",$M37="",$R37="",$W37=""),"",COUNTIF($C37:$AA37,"●"))</f>
        <v>0</v>
      </c>
      <c r="AI35" s="503"/>
      <c r="AJ35" s="480">
        <f>IF(AND(C35="",H35="",M35="",R35="",W35=""),"",SUM(C35,H35,M35,R35,W35))</f>
        <v>36</v>
      </c>
      <c r="AK35" s="481"/>
      <c r="AL35" s="485">
        <f>IF(AND(G35="",L35="",Q35="",V35="",AA35=""),"",SUM(G35,L35,Q35,V35,AA35))</f>
        <v>4</v>
      </c>
      <c r="AM35" s="481"/>
      <c r="AN35" s="485">
        <f>IF(OR(AJ35="",AL35=""),"",AJ35-AL35)</f>
        <v>32</v>
      </c>
      <c r="AO35" s="481"/>
      <c r="AP35" s="488">
        <f>IF(OR($AI$18="",$AK$18=""),"",RANK(AS35,$AS$29:$AS$40))</f>
        <v>2</v>
      </c>
      <c r="AQ35" s="488"/>
      <c r="AR35" s="488"/>
      <c r="AS35" s="130">
        <f>SUM($AB35*10000,$AD35*1000,$AN35*100,$AJ35)</f>
        <v>65236</v>
      </c>
      <c r="AT35" s="125" t="str">
        <f>B35</f>
        <v>横田中</v>
      </c>
      <c r="AU35" s="125"/>
      <c r="AV35" s="125"/>
      <c r="AW35" s="125"/>
      <c r="AX35" s="124"/>
      <c r="AY35" s="124"/>
    </row>
    <row r="36" spans="1:51" s="123" customFormat="1" ht="13.5" customHeight="1" x14ac:dyDescent="0.15">
      <c r="A36" s="460"/>
      <c r="B36" s="463"/>
      <c r="C36" s="498"/>
      <c r="D36" s="128">
        <f>AK24</f>
        <v>0</v>
      </c>
      <c r="E36" s="128" t="s">
        <v>43</v>
      </c>
      <c r="F36" s="128">
        <f>AI24</f>
        <v>2</v>
      </c>
      <c r="G36" s="505"/>
      <c r="H36" s="498"/>
      <c r="I36" s="128">
        <f>AK18</f>
        <v>7</v>
      </c>
      <c r="J36" s="128" t="s">
        <v>43</v>
      </c>
      <c r="K36" s="128">
        <f>AI18</f>
        <v>0</v>
      </c>
      <c r="L36" s="505"/>
      <c r="M36" s="466"/>
      <c r="N36" s="129"/>
      <c r="O36" s="129"/>
      <c r="P36" s="129"/>
      <c r="Q36" s="468"/>
      <c r="R36" s="498"/>
      <c r="S36" s="128">
        <f>AI16</f>
        <v>12</v>
      </c>
      <c r="T36" s="128" t="s">
        <v>43</v>
      </c>
      <c r="U36" s="128">
        <f>AK16</f>
        <v>0</v>
      </c>
      <c r="V36" s="505"/>
      <c r="W36" s="498"/>
      <c r="X36" s="128" t="str">
        <f>IF(W$30="","",VLOOKUP($A$37&amp;W$29,$AV$15:$AX$26,3,FALSE))</f>
        <v/>
      </c>
      <c r="Y36" s="128"/>
      <c r="Z36" s="128" t="str">
        <f>IF(W$30="","",VLOOKUP(W$29&amp;$A$37,$AV$15:$AX$26,3,FALSE))</f>
        <v/>
      </c>
      <c r="AA36" s="500"/>
      <c r="AB36" s="501"/>
      <c r="AC36" s="502"/>
      <c r="AD36" s="503"/>
      <c r="AE36" s="503"/>
      <c r="AF36" s="503"/>
      <c r="AG36" s="503"/>
      <c r="AH36" s="503"/>
      <c r="AI36" s="503"/>
      <c r="AJ36" s="482"/>
      <c r="AK36" s="483"/>
      <c r="AL36" s="486"/>
      <c r="AM36" s="483"/>
      <c r="AN36" s="486"/>
      <c r="AO36" s="483"/>
      <c r="AP36" s="488"/>
      <c r="AQ36" s="488"/>
      <c r="AR36" s="488"/>
      <c r="AS36" s="127"/>
      <c r="AT36" s="125"/>
      <c r="AU36" s="125"/>
      <c r="AV36" s="125"/>
      <c r="AW36" s="125"/>
      <c r="AX36" s="124"/>
      <c r="AY36" s="124"/>
    </row>
    <row r="37" spans="1:51" s="123" customFormat="1" ht="18" customHeight="1" x14ac:dyDescent="0.15">
      <c r="A37" s="461"/>
      <c r="B37" s="464"/>
      <c r="C37" s="495" t="str">
        <f>IF(OR(C35="",G35=""),"",IF(C35&gt;G35,"○",IF(C35=G35,"△",IF(C35&lt;G35,"☓",""))))</f>
        <v>☓</v>
      </c>
      <c r="D37" s="496"/>
      <c r="E37" s="496"/>
      <c r="F37" s="496"/>
      <c r="G37" s="506"/>
      <c r="H37" s="495" t="str">
        <f>IF(OR(H35="",L35=""),"",IF(H35&gt;L35,"○",IF(H35=L35,"△",IF(H35&lt;L35,"☓",""))))</f>
        <v>○</v>
      </c>
      <c r="I37" s="496"/>
      <c r="J37" s="496"/>
      <c r="K37" s="496"/>
      <c r="L37" s="506"/>
      <c r="M37" s="489"/>
      <c r="N37" s="490"/>
      <c r="O37" s="490"/>
      <c r="P37" s="490"/>
      <c r="Q37" s="491"/>
      <c r="R37" s="495" t="str">
        <f>IF(OR(R35="",V35=""),"",IF(R35&gt;V35,"○",IF(R35=V35,"△",IF(R35&lt;V35,"☓",""))))</f>
        <v>○</v>
      </c>
      <c r="S37" s="496"/>
      <c r="T37" s="496"/>
      <c r="U37" s="496"/>
      <c r="V37" s="506"/>
      <c r="W37" s="495" t="str">
        <f>IF(OR(W35="",AA35=""),"",IF(W35&gt;AA35,"○",IF(W35=AA35,"△",IF(W35&lt;AA35,"●",""))))</f>
        <v/>
      </c>
      <c r="X37" s="496"/>
      <c r="Y37" s="496"/>
      <c r="Z37" s="496"/>
      <c r="AA37" s="496"/>
      <c r="AB37" s="501"/>
      <c r="AC37" s="502"/>
      <c r="AD37" s="503"/>
      <c r="AE37" s="503"/>
      <c r="AF37" s="503"/>
      <c r="AG37" s="503"/>
      <c r="AH37" s="503"/>
      <c r="AI37" s="503"/>
      <c r="AJ37" s="409"/>
      <c r="AK37" s="484"/>
      <c r="AL37" s="487"/>
      <c r="AM37" s="484"/>
      <c r="AN37" s="487"/>
      <c r="AO37" s="484"/>
      <c r="AP37" s="488"/>
      <c r="AQ37" s="488"/>
      <c r="AR37" s="488"/>
      <c r="AS37" s="126"/>
      <c r="AT37" s="125">
        <f>B37</f>
        <v>0</v>
      </c>
      <c r="AU37" s="125"/>
      <c r="AV37" s="125"/>
      <c r="AW37" s="125"/>
      <c r="AX37" s="124"/>
      <c r="AY37" s="124"/>
    </row>
    <row r="38" spans="1:51" s="123" customFormat="1" ht="13.5" customHeight="1" x14ac:dyDescent="0.15">
      <c r="A38" s="459" t="str">
        <f>IF($P$10&gt;3,AT7,"")</f>
        <v/>
      </c>
      <c r="B38" s="462" t="str">
        <f>IF(H9="","",LEFT(H9,10))</f>
        <v>高森み</v>
      </c>
      <c r="C38" s="497">
        <f>IF(AND(D38="",D39=""),"",SUM(D38:D39))</f>
        <v>0</v>
      </c>
      <c r="D38" s="131">
        <f>AK19</f>
        <v>0</v>
      </c>
      <c r="E38" s="131" t="s">
        <v>43</v>
      </c>
      <c r="F38" s="131">
        <f>AI19</f>
        <v>7</v>
      </c>
      <c r="G38" s="504">
        <f>IF(AND(F38="",F39=""),"",SUM(F38:F39))</f>
        <v>17</v>
      </c>
      <c r="H38" s="497">
        <f>IF(AND(I38="",I39=""),"",SUM(I38:I39))</f>
        <v>1</v>
      </c>
      <c r="I38" s="131">
        <f>AK21</f>
        <v>0</v>
      </c>
      <c r="J38" s="131" t="s">
        <v>43</v>
      </c>
      <c r="K38" s="131">
        <f>AI21</f>
        <v>2</v>
      </c>
      <c r="L38" s="504">
        <f>IF(AND(K38="",K39=""),"",SUM(K38:K39))</f>
        <v>6</v>
      </c>
      <c r="M38" s="497">
        <f>IF(AND(N38="",N39=""),"",SUM(N38:N39))</f>
        <v>0</v>
      </c>
      <c r="N38" s="131">
        <f>AK15</f>
        <v>0</v>
      </c>
      <c r="O38" s="131" t="s">
        <v>43</v>
      </c>
      <c r="P38" s="131">
        <f>AI15</f>
        <v>8</v>
      </c>
      <c r="Q38" s="504">
        <f>IF(AND(P38="",P39=""),"",SUM(P38:P39))</f>
        <v>20</v>
      </c>
      <c r="R38" s="465"/>
      <c r="S38" s="132"/>
      <c r="T38" s="132"/>
      <c r="U38" s="132"/>
      <c r="V38" s="467"/>
      <c r="W38" s="497" t="str">
        <f>IF(AND(X38="",X39=""),"",SUM(X38:X39))</f>
        <v/>
      </c>
      <c r="X38" s="131" t="str">
        <f>IF(W$30="","",VLOOKUP($A$40&amp;W$29,$AV$15:$AX$26,2,FALSE))</f>
        <v/>
      </c>
      <c r="Y38" s="131"/>
      <c r="Z38" s="131" t="str">
        <f>IF(W$30="","",VLOOKUP(W$29&amp;$A38,$AV$15:$AX$26,2,FALSE))</f>
        <v/>
      </c>
      <c r="AA38" s="499" t="str">
        <f>IF(AND(Z38="",Z39=""),"",SUM(Z38:Z39))</f>
        <v/>
      </c>
      <c r="AB38" s="501">
        <f>IF(AND($C40="",$H40="",$M40="",$R40="",$W40=""),"",SUM(3*AD38,1*AF38))</f>
        <v>0</v>
      </c>
      <c r="AC38" s="502"/>
      <c r="AD38" s="503">
        <f>IF(AND($C40="",$H40="",$M40="",$R40="",$W40=""),"",COUNTIF($C40:$AA40,"○"))</f>
        <v>0</v>
      </c>
      <c r="AE38" s="503"/>
      <c r="AF38" s="503">
        <f>IF(AND($C40="",$H40="",$M40="",$R40="",$W40=""),"",COUNTIF($C40:$AA40,"△"))</f>
        <v>0</v>
      </c>
      <c r="AG38" s="503"/>
      <c r="AH38" s="503">
        <f>IF(AND($C40="",$H40="",$M40="",$R40="",$W40=""),"",COUNTIF($C40:$AA40,"●"))</f>
        <v>0</v>
      </c>
      <c r="AI38" s="503"/>
      <c r="AJ38" s="480">
        <f>IF(AND(C38="",H38="",M38="",R38="",W38=""),"",SUM(C38,H38,M38,R38,W38))</f>
        <v>1</v>
      </c>
      <c r="AK38" s="481"/>
      <c r="AL38" s="485">
        <f>IF(AND(G38="",L38="",Q38="",V38="",AA38=""),"",SUM(G38,L38,Q38,V38,AA38))</f>
        <v>43</v>
      </c>
      <c r="AM38" s="481"/>
      <c r="AN38" s="485">
        <f>IF(OR(AJ38="",AL38=""),"",AJ38-AL38)</f>
        <v>-42</v>
      </c>
      <c r="AO38" s="481"/>
      <c r="AP38" s="488">
        <f>IF(OR($AI$18="",$AK$18=""),"",RANK(AS38:AS40,$AS$29:$AS$40))</f>
        <v>4</v>
      </c>
      <c r="AQ38" s="488"/>
      <c r="AR38" s="488"/>
      <c r="AS38" s="130">
        <f>SUM($AB38*10000,$AD38*1000,$AN38*100,$AJ38)</f>
        <v>-4199</v>
      </c>
      <c r="AT38" s="125" t="str">
        <f>B38</f>
        <v>高森み</v>
      </c>
      <c r="AU38" s="125"/>
      <c r="AV38" s="125"/>
      <c r="AW38" s="125"/>
      <c r="AX38" s="124"/>
      <c r="AY38" s="124"/>
    </row>
    <row r="39" spans="1:51" s="123" customFormat="1" ht="13.5" customHeight="1" x14ac:dyDescent="0.15">
      <c r="A39" s="460"/>
      <c r="B39" s="463"/>
      <c r="C39" s="498"/>
      <c r="D39" s="128">
        <f>AK20</f>
        <v>0</v>
      </c>
      <c r="E39" s="128" t="s">
        <v>43</v>
      </c>
      <c r="F39" s="128">
        <f>AI20</f>
        <v>10</v>
      </c>
      <c r="G39" s="505"/>
      <c r="H39" s="498"/>
      <c r="I39" s="128">
        <f>AK22</f>
        <v>1</v>
      </c>
      <c r="J39" s="128" t="s">
        <v>43</v>
      </c>
      <c r="K39" s="128">
        <f>AI22</f>
        <v>4</v>
      </c>
      <c r="L39" s="505"/>
      <c r="M39" s="498"/>
      <c r="N39" s="128">
        <f>AK16</f>
        <v>0</v>
      </c>
      <c r="O39" s="128" t="s">
        <v>43</v>
      </c>
      <c r="P39" s="128">
        <f>AI16</f>
        <v>12</v>
      </c>
      <c r="Q39" s="505"/>
      <c r="R39" s="466"/>
      <c r="S39" s="129"/>
      <c r="T39" s="129"/>
      <c r="U39" s="129"/>
      <c r="V39" s="468"/>
      <c r="W39" s="498"/>
      <c r="X39" s="128" t="str">
        <f>IF(W$30="","",VLOOKUP($A$40&amp;W$29,$AV$15:$AX$26,3,FALSE))</f>
        <v/>
      </c>
      <c r="Y39" s="128"/>
      <c r="Z39" s="128" t="str">
        <f>IF(W$30="","",VLOOKUP(W$29&amp;$A38,$AV$15:$AX$26,3,FALSE))</f>
        <v/>
      </c>
      <c r="AA39" s="500"/>
      <c r="AB39" s="501"/>
      <c r="AC39" s="502"/>
      <c r="AD39" s="503"/>
      <c r="AE39" s="503"/>
      <c r="AF39" s="503"/>
      <c r="AG39" s="503"/>
      <c r="AH39" s="503"/>
      <c r="AI39" s="503"/>
      <c r="AJ39" s="482"/>
      <c r="AK39" s="483"/>
      <c r="AL39" s="486"/>
      <c r="AM39" s="483"/>
      <c r="AN39" s="486"/>
      <c r="AO39" s="483"/>
      <c r="AP39" s="488"/>
      <c r="AQ39" s="488"/>
      <c r="AR39" s="488"/>
      <c r="AS39" s="127"/>
      <c r="AT39" s="125"/>
      <c r="AU39" s="125"/>
      <c r="AV39" s="125"/>
      <c r="AW39" s="125"/>
      <c r="AX39" s="124"/>
      <c r="AY39" s="124"/>
    </row>
    <row r="40" spans="1:51" s="123" customFormat="1" ht="18" customHeight="1" x14ac:dyDescent="0.15">
      <c r="A40" s="461"/>
      <c r="B40" s="464"/>
      <c r="C40" s="495" t="str">
        <f>IF(OR(C38="",G38=""),"",IF(C38&gt;G38,"○",IF(C38=G38,"△",IF(C38&lt;G38,"☓",""))))</f>
        <v>☓</v>
      </c>
      <c r="D40" s="496"/>
      <c r="E40" s="496"/>
      <c r="F40" s="496"/>
      <c r="G40" s="506"/>
      <c r="H40" s="495" t="str">
        <f>IF(OR(H38="",L38=""),"",IF(H38&gt;L38,"○",IF(H38=L38,"△",IF(H38&lt;L38,"☓",""))))</f>
        <v>☓</v>
      </c>
      <c r="I40" s="496"/>
      <c r="J40" s="496"/>
      <c r="K40" s="496"/>
      <c r="L40" s="506"/>
      <c r="M40" s="495" t="str">
        <f>IF(OR(M38="",Q38=""),"",IF(M38&gt;Q38,"○",IF(M38=Q38,"△",IF(M38&lt;Q38,"☓",""))))</f>
        <v>☓</v>
      </c>
      <c r="N40" s="496"/>
      <c r="O40" s="496"/>
      <c r="P40" s="496"/>
      <c r="Q40" s="506"/>
      <c r="R40" s="489"/>
      <c r="S40" s="490"/>
      <c r="T40" s="490"/>
      <c r="U40" s="490"/>
      <c r="V40" s="491"/>
      <c r="W40" s="495" t="str">
        <f>IF(OR(W38="",AA38=""),"",IF(W38&gt;AA38,"○",IF(W38=AA38,"△",IF(W38&lt;AA38,"●",""))))</f>
        <v/>
      </c>
      <c r="X40" s="496"/>
      <c r="Y40" s="496"/>
      <c r="Z40" s="496"/>
      <c r="AA40" s="496"/>
      <c r="AB40" s="501"/>
      <c r="AC40" s="502"/>
      <c r="AD40" s="503"/>
      <c r="AE40" s="503"/>
      <c r="AF40" s="503"/>
      <c r="AG40" s="503"/>
      <c r="AH40" s="503"/>
      <c r="AI40" s="503"/>
      <c r="AJ40" s="409"/>
      <c r="AK40" s="484"/>
      <c r="AL40" s="487"/>
      <c r="AM40" s="484"/>
      <c r="AN40" s="487"/>
      <c r="AO40" s="484"/>
      <c r="AP40" s="488"/>
      <c r="AQ40" s="488"/>
      <c r="AR40" s="488"/>
      <c r="AS40" s="126"/>
      <c r="AT40" s="125">
        <f>B40</f>
        <v>0</v>
      </c>
      <c r="AU40" s="125"/>
      <c r="AV40" s="125"/>
      <c r="AW40" s="125"/>
      <c r="AX40" s="124"/>
      <c r="AY40" s="124"/>
    </row>
  </sheetData>
  <sheetProtection selectLockedCells="1"/>
  <mergeCells count="223">
    <mergeCell ref="AN38:AO40"/>
    <mergeCell ref="AP38:AR40"/>
    <mergeCell ref="C40:G40"/>
    <mergeCell ref="H40:L40"/>
    <mergeCell ref="M40:Q40"/>
    <mergeCell ref="R40:V40"/>
    <mergeCell ref="W40:AA40"/>
    <mergeCell ref="AB38:AC40"/>
    <mergeCell ref="AD38:AE40"/>
    <mergeCell ref="AF38:AG40"/>
    <mergeCell ref="AH38:AI40"/>
    <mergeCell ref="AJ38:AK40"/>
    <mergeCell ref="AL38:AM40"/>
    <mergeCell ref="M38:M39"/>
    <mergeCell ref="Q38:Q39"/>
    <mergeCell ref="R38:R39"/>
    <mergeCell ref="V38:V39"/>
    <mergeCell ref="W38:W39"/>
    <mergeCell ref="AA38:AA39"/>
    <mergeCell ref="A38:A40"/>
    <mergeCell ref="B38:B40"/>
    <mergeCell ref="C38:C39"/>
    <mergeCell ref="G38:G39"/>
    <mergeCell ref="H38:H39"/>
    <mergeCell ref="L38:L39"/>
    <mergeCell ref="AN35:AO37"/>
    <mergeCell ref="AP35:AR37"/>
    <mergeCell ref="C37:G37"/>
    <mergeCell ref="H37:L37"/>
    <mergeCell ref="M37:Q37"/>
    <mergeCell ref="R37:V37"/>
    <mergeCell ref="W37:AA37"/>
    <mergeCell ref="AB35:AC37"/>
    <mergeCell ref="AD35:AE37"/>
    <mergeCell ref="AF35:AG37"/>
    <mergeCell ref="AH35:AI37"/>
    <mergeCell ref="AJ35:AK37"/>
    <mergeCell ref="AL35:AM37"/>
    <mergeCell ref="M35:M36"/>
    <mergeCell ref="Q35:Q36"/>
    <mergeCell ref="R35:R36"/>
    <mergeCell ref="V35:V36"/>
    <mergeCell ref="W35:W36"/>
    <mergeCell ref="AA35:AA36"/>
    <mergeCell ref="A35:A37"/>
    <mergeCell ref="B35:B37"/>
    <mergeCell ref="C35:C36"/>
    <mergeCell ref="G35:G36"/>
    <mergeCell ref="H35:H36"/>
    <mergeCell ref="L35:L36"/>
    <mergeCell ref="AN32:AO34"/>
    <mergeCell ref="AP32:AR34"/>
    <mergeCell ref="C34:G34"/>
    <mergeCell ref="H34:L34"/>
    <mergeCell ref="M34:Q34"/>
    <mergeCell ref="R34:V34"/>
    <mergeCell ref="W34:AA34"/>
    <mergeCell ref="AB32:AC34"/>
    <mergeCell ref="AD32:AE34"/>
    <mergeCell ref="AF32:AG34"/>
    <mergeCell ref="AH32:AI34"/>
    <mergeCell ref="AJ32:AK34"/>
    <mergeCell ref="AL32:AM34"/>
    <mergeCell ref="M32:M33"/>
    <mergeCell ref="Q32:Q33"/>
    <mergeCell ref="R32:R33"/>
    <mergeCell ref="V32:V33"/>
    <mergeCell ref="W32:W33"/>
    <mergeCell ref="AA32:AA33"/>
    <mergeCell ref="A32:A34"/>
    <mergeCell ref="B32:B34"/>
    <mergeCell ref="C32:C33"/>
    <mergeCell ref="G32:G33"/>
    <mergeCell ref="H32:H33"/>
    <mergeCell ref="L32:L33"/>
    <mergeCell ref="AH29:AI31"/>
    <mergeCell ref="AN29:AO31"/>
    <mergeCell ref="AP29:AR31"/>
    <mergeCell ref="C31:G31"/>
    <mergeCell ref="H31:L31"/>
    <mergeCell ref="M31:Q31"/>
    <mergeCell ref="R31:V31"/>
    <mergeCell ref="W31:AA31"/>
    <mergeCell ref="V29:V30"/>
    <mergeCell ref="W29:W30"/>
    <mergeCell ref="AA29:AA30"/>
    <mergeCell ref="AB29:AC31"/>
    <mergeCell ref="AD29:AE31"/>
    <mergeCell ref="AF29:AG31"/>
    <mergeCell ref="AP28:AR28"/>
    <mergeCell ref="A29:A31"/>
    <mergeCell ref="B29:B31"/>
    <mergeCell ref="C29:C30"/>
    <mergeCell ref="G29:G30"/>
    <mergeCell ref="H29:H30"/>
    <mergeCell ref="L29:L30"/>
    <mergeCell ref="M29:M30"/>
    <mergeCell ref="Q29:Q30"/>
    <mergeCell ref="R29:R30"/>
    <mergeCell ref="AD28:AE28"/>
    <mergeCell ref="AF28:AG28"/>
    <mergeCell ref="AH28:AI28"/>
    <mergeCell ref="AJ28:AK28"/>
    <mergeCell ref="AL28:AM28"/>
    <mergeCell ref="AN28:AO28"/>
    <mergeCell ref="C28:G28"/>
    <mergeCell ref="H28:L28"/>
    <mergeCell ref="M28:Q28"/>
    <mergeCell ref="R28:V28"/>
    <mergeCell ref="W28:AA28"/>
    <mergeCell ref="AB28:AC28"/>
    <mergeCell ref="AJ29:AK31"/>
    <mergeCell ref="AL29:AM31"/>
    <mergeCell ref="B25:AR25"/>
    <mergeCell ref="C27:G27"/>
    <mergeCell ref="H27:L27"/>
    <mergeCell ref="M27:Q27"/>
    <mergeCell ref="R27:V27"/>
    <mergeCell ref="W27:AA27"/>
    <mergeCell ref="AB23:AB24"/>
    <mergeCell ref="AC23:AG24"/>
    <mergeCell ref="AH23:AH24"/>
    <mergeCell ref="AL23:AL24"/>
    <mergeCell ref="AM23:AQ24"/>
    <mergeCell ref="AR23:AR24"/>
    <mergeCell ref="AL21:AL22"/>
    <mergeCell ref="AM21:AQ22"/>
    <mergeCell ref="AR21:AR22"/>
    <mergeCell ref="AS21:AS22"/>
    <mergeCell ref="C23:M24"/>
    <mergeCell ref="N23:P24"/>
    <mergeCell ref="Q23:T24"/>
    <mergeCell ref="U23:V24"/>
    <mergeCell ref="W23:Z24"/>
    <mergeCell ref="AA23:AA24"/>
    <mergeCell ref="AS23:AS24"/>
    <mergeCell ref="C21:M22"/>
    <mergeCell ref="N21:P22"/>
    <mergeCell ref="Q21:T22"/>
    <mergeCell ref="U21:V22"/>
    <mergeCell ref="W21:Z22"/>
    <mergeCell ref="AA21:AA22"/>
    <mergeCell ref="AB21:AB22"/>
    <mergeCell ref="AC21:AG22"/>
    <mergeCell ref="AH21:AH22"/>
    <mergeCell ref="AR17:AR18"/>
    <mergeCell ref="AS17:AS18"/>
    <mergeCell ref="C19:M20"/>
    <mergeCell ref="N19:P20"/>
    <mergeCell ref="Q19:T20"/>
    <mergeCell ref="U19:V20"/>
    <mergeCell ref="W19:Z20"/>
    <mergeCell ref="AA19:AA20"/>
    <mergeCell ref="AS19:AS20"/>
    <mergeCell ref="AB19:AB20"/>
    <mergeCell ref="AC19:AG20"/>
    <mergeCell ref="AH19:AH20"/>
    <mergeCell ref="AL19:AL20"/>
    <mergeCell ref="AM19:AQ20"/>
    <mergeCell ref="AR19:AR20"/>
    <mergeCell ref="AS15:AS16"/>
    <mergeCell ref="C17:M18"/>
    <mergeCell ref="N17:P18"/>
    <mergeCell ref="Q17:T18"/>
    <mergeCell ref="U17:V18"/>
    <mergeCell ref="W17:Z18"/>
    <mergeCell ref="AA17:AA18"/>
    <mergeCell ref="AB17:AB18"/>
    <mergeCell ref="AC17:AG18"/>
    <mergeCell ref="AH17:AH18"/>
    <mergeCell ref="AB15:AB16"/>
    <mergeCell ref="AC15:AG16"/>
    <mergeCell ref="AH15:AH16"/>
    <mergeCell ref="AL15:AL16"/>
    <mergeCell ref="AM15:AQ16"/>
    <mergeCell ref="AR15:AR16"/>
    <mergeCell ref="C15:M16"/>
    <mergeCell ref="N15:P16"/>
    <mergeCell ref="Q15:T16"/>
    <mergeCell ref="U15:V16"/>
    <mergeCell ref="W15:Z16"/>
    <mergeCell ref="AA15:AA16"/>
    <mergeCell ref="AL17:AL18"/>
    <mergeCell ref="AM17:AQ18"/>
    <mergeCell ref="AC13:AG14"/>
    <mergeCell ref="AH13:AH14"/>
    <mergeCell ref="AL13:AL14"/>
    <mergeCell ref="AM13:AQ14"/>
    <mergeCell ref="AR13:AR14"/>
    <mergeCell ref="AS13:AS14"/>
    <mergeCell ref="C12:M12"/>
    <mergeCell ref="AB12:AF12"/>
    <mergeCell ref="AM12:AR12"/>
    <mergeCell ref="C13:M14"/>
    <mergeCell ref="N13:P14"/>
    <mergeCell ref="Q13:T14"/>
    <mergeCell ref="U13:V14"/>
    <mergeCell ref="W13:Z14"/>
    <mergeCell ref="AA13:AA14"/>
    <mergeCell ref="AB13:AB14"/>
    <mergeCell ref="F9:G9"/>
    <mergeCell ref="H9:L9"/>
    <mergeCell ref="M9:P9"/>
    <mergeCell ref="Z10:AD10"/>
    <mergeCell ref="AG10:AK10"/>
    <mergeCell ref="AN10:AO10"/>
    <mergeCell ref="F7:G7"/>
    <mergeCell ref="H7:L7"/>
    <mergeCell ref="M7:P7"/>
    <mergeCell ref="R7:S7"/>
    <mergeCell ref="F8:G8"/>
    <mergeCell ref="H8:L8"/>
    <mergeCell ref="M8:P8"/>
    <mergeCell ref="R8:S8"/>
    <mergeCell ref="B1:AR1"/>
    <mergeCell ref="Y4:AD4"/>
    <mergeCell ref="AG4:AK4"/>
    <mergeCell ref="H5:P5"/>
    <mergeCell ref="R5:S5"/>
    <mergeCell ref="F6:G6"/>
    <mergeCell ref="H6:L6"/>
    <mergeCell ref="M6:P6"/>
    <mergeCell ref="R6:S6"/>
  </mergeCells>
  <phoneticPr fontId="2"/>
  <conditionalFormatting sqref="M6 H6:H9">
    <cfRule type="cellIs" dxfId="91" priority="14" stopIfTrue="1" operator="equal">
      <formula>""</formula>
    </cfRule>
  </conditionalFormatting>
  <conditionalFormatting sqref="B1:AR1">
    <cfRule type="cellIs" dxfId="90" priority="15" stopIfTrue="1" operator="equal">
      <formula>""</formula>
    </cfRule>
    <cfRule type="cellIs" dxfId="89" priority="16" stopIfTrue="1" operator="equal">
      <formula>"ここへ「大会名」等を投入して下さい"</formula>
    </cfRule>
  </conditionalFormatting>
  <conditionalFormatting sqref="M7:M9">
    <cfRule type="cellIs" dxfId="88" priority="13" stopIfTrue="1" operator="equal">
      <formula>""</formula>
    </cfRule>
  </conditionalFormatting>
  <conditionalFormatting sqref="AI13:AI14">
    <cfRule type="cellIs" dxfId="87" priority="12" stopIfTrue="1" operator="equal">
      <formula>""</formula>
    </cfRule>
  </conditionalFormatting>
  <conditionalFormatting sqref="AI15:AI16">
    <cfRule type="cellIs" dxfId="86" priority="11" stopIfTrue="1" operator="equal">
      <formula>""</formula>
    </cfRule>
  </conditionalFormatting>
  <conditionalFormatting sqref="AI17:AI18">
    <cfRule type="cellIs" dxfId="85" priority="10" stopIfTrue="1" operator="equal">
      <formula>""</formula>
    </cfRule>
  </conditionalFormatting>
  <conditionalFormatting sqref="AI19:AI20">
    <cfRule type="cellIs" dxfId="84" priority="9" stopIfTrue="1" operator="equal">
      <formula>""</formula>
    </cfRule>
  </conditionalFormatting>
  <conditionalFormatting sqref="AI21:AI22">
    <cfRule type="cellIs" dxfId="83" priority="8" stopIfTrue="1" operator="equal">
      <formula>""</formula>
    </cfRule>
  </conditionalFormatting>
  <conditionalFormatting sqref="AI23:AI24">
    <cfRule type="cellIs" dxfId="82" priority="7" stopIfTrue="1" operator="equal">
      <formula>""</formula>
    </cfRule>
  </conditionalFormatting>
  <conditionalFormatting sqref="AK13:AK14">
    <cfRule type="cellIs" dxfId="81" priority="6" stopIfTrue="1" operator="equal">
      <formula>""</formula>
    </cfRule>
  </conditionalFormatting>
  <conditionalFormatting sqref="AK15:AK16">
    <cfRule type="cellIs" dxfId="80" priority="5" stopIfTrue="1" operator="equal">
      <formula>""</formula>
    </cfRule>
  </conditionalFormatting>
  <conditionalFormatting sqref="AK17:AK18">
    <cfRule type="cellIs" dxfId="79" priority="4" stopIfTrue="1" operator="equal">
      <formula>""</formula>
    </cfRule>
  </conditionalFormatting>
  <conditionalFormatting sqref="AK19:AK20">
    <cfRule type="cellIs" dxfId="78" priority="3" stopIfTrue="1" operator="equal">
      <formula>""</formula>
    </cfRule>
  </conditionalFormatting>
  <conditionalFormatting sqref="AK21:AK22">
    <cfRule type="cellIs" dxfId="77" priority="2" stopIfTrue="1" operator="equal">
      <formula>""</formula>
    </cfRule>
  </conditionalFormatting>
  <conditionalFormatting sqref="AK23:AK24">
    <cfRule type="cellIs" dxfId="76" priority="1" stopIfTrue="1" operator="equal">
      <formula>""</formula>
    </cfRule>
  </conditionalFormatting>
  <dataValidations count="4">
    <dataValidation imeMode="hiragana" allowBlank="1" showInputMessage="1" showErrorMessage="1" sqref="B1"/>
    <dataValidation imeMode="off" allowBlank="1" showInputMessage="1" showErrorMessage="1" sqref="AI13:AK24"/>
    <dataValidation type="textLength" imeMode="hiragana" operator="lessThanOrEqual" allowBlank="1" showInputMessage="1" showErrorMessage="1" sqref="T7:U9 W7 V9:W9 X6:X7 S9 Z9:AA9 AG7 Y9:Y10 Y6:AA6 AI7">
      <formula1>8</formula1>
    </dataValidation>
    <dataValidation imeMode="hiragana" operator="lessThanOrEqual" allowBlank="1" showInputMessage="1" showErrorMessage="1" sqref="M6:M9 H6:H9"/>
  </dataValidations>
  <printOptions horizontalCentered="1"/>
  <pageMargins left="0.39370078740157483" right="0.39370078740157483" top="0.59055118110236227" bottom="0.66" header="0.43307086614173229" footer="0.51181102362204722"/>
  <pageSetup paperSize="9" scale="92" orientation="portrait" horizontalDpi="300" verticalDpi="300" r:id="rId1"/>
  <headerFooter alignWithMargins="0">
    <oddFooter>&amp;R&amp;6「リーグ君」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AY45"/>
  <sheetViews>
    <sheetView showGridLines="0" topLeftCell="B1" zoomScale="85" zoomScaleNormal="85" workbookViewId="0">
      <selection activeCell="AA23" sqref="AA23:AA24"/>
    </sheetView>
  </sheetViews>
  <sheetFormatPr defaultColWidth="9" defaultRowHeight="13.5" x14ac:dyDescent="0.15"/>
  <cols>
    <col min="1" max="1" width="2.875" style="120" hidden="1" customWidth="1"/>
    <col min="2" max="2" width="9" style="120"/>
    <col min="3" max="3" width="2.5" style="120" customWidth="1"/>
    <col min="4" max="4" width="1.625" style="122" customWidth="1"/>
    <col min="5" max="5" width="1.25" style="120" customWidth="1"/>
    <col min="6" max="6" width="1.625" style="120" customWidth="1"/>
    <col min="7" max="8" width="2.5" style="120" customWidth="1"/>
    <col min="9" max="9" width="1.625" style="120" customWidth="1"/>
    <col min="10" max="10" width="1.25" style="120" customWidth="1"/>
    <col min="11" max="11" width="1.625" style="122" customWidth="1"/>
    <col min="12" max="13" width="2.5" style="120" customWidth="1"/>
    <col min="14" max="14" width="1.625" style="120" customWidth="1"/>
    <col min="15" max="15" width="1.25" style="122" customWidth="1"/>
    <col min="16" max="16" width="1.625" style="122" customWidth="1"/>
    <col min="17" max="18" width="2.5" style="120" customWidth="1"/>
    <col min="19" max="19" width="1.625" style="120" customWidth="1"/>
    <col min="20" max="20" width="1.25" style="122" customWidth="1"/>
    <col min="21" max="21" width="1.625" style="122" customWidth="1"/>
    <col min="22" max="23" width="2.5" style="120" customWidth="1"/>
    <col min="24" max="24" width="1.625" style="120" customWidth="1"/>
    <col min="25" max="25" width="1.25" style="122" customWidth="1"/>
    <col min="26" max="26" width="1.625" style="122" customWidth="1"/>
    <col min="27" max="27" width="2.5" style="122" customWidth="1"/>
    <col min="28" max="35" width="2.75" style="120" customWidth="1"/>
    <col min="36" max="36" width="2.75" style="121" customWidth="1"/>
    <col min="37" max="44" width="2.75" style="120" customWidth="1"/>
    <col min="45" max="45" width="4.125" style="120" hidden="1" customWidth="1"/>
    <col min="46" max="46" width="2.5" style="120" hidden="1" customWidth="1"/>
    <col min="47" max="47" width="2.75" style="120" hidden="1" customWidth="1"/>
    <col min="48" max="49" width="4.625" style="120" hidden="1" customWidth="1"/>
    <col min="50" max="50" width="6.5" style="120" hidden="1" customWidth="1"/>
    <col min="51" max="51" width="9" style="120" hidden="1" customWidth="1"/>
    <col min="52" max="16384" width="9" style="120"/>
  </cols>
  <sheetData>
    <row r="1" spans="1:51" ht="30.75" customHeight="1" x14ac:dyDescent="0.2">
      <c r="A1" s="141"/>
      <c r="B1" s="410" t="str">
        <f>[1]参加チーム!B1</f>
        <v>第２５回中国中学生ホッケー選手権大会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  <c r="AC1" s="410"/>
      <c r="AD1" s="410"/>
      <c r="AE1" s="410"/>
      <c r="AF1" s="410"/>
      <c r="AG1" s="410"/>
      <c r="AH1" s="410"/>
      <c r="AI1" s="410"/>
      <c r="AJ1" s="410"/>
      <c r="AK1" s="410"/>
      <c r="AL1" s="410"/>
      <c r="AM1" s="410"/>
      <c r="AN1" s="410"/>
      <c r="AO1" s="410"/>
      <c r="AP1" s="410"/>
      <c r="AQ1" s="410"/>
      <c r="AR1" s="410"/>
      <c r="AS1" s="234"/>
      <c r="AT1" s="141"/>
      <c r="AU1" s="141"/>
      <c r="AV1" s="141"/>
      <c r="AW1" s="141"/>
      <c r="AX1" s="141"/>
      <c r="AY1" s="140"/>
    </row>
    <row r="2" spans="1:51" ht="18" customHeight="1" x14ac:dyDescent="0.15">
      <c r="A2" s="141"/>
      <c r="B2" s="179"/>
      <c r="C2" s="179"/>
      <c r="D2" s="182"/>
      <c r="E2" s="179"/>
      <c r="F2" s="179"/>
      <c r="G2" s="179"/>
      <c r="H2" s="179"/>
      <c r="I2" s="179"/>
      <c r="J2" s="179"/>
      <c r="K2" s="182"/>
      <c r="L2" s="179"/>
      <c r="M2" s="179"/>
      <c r="N2" s="179"/>
      <c r="O2" s="182"/>
      <c r="P2" s="182"/>
      <c r="Q2" s="179"/>
      <c r="R2" s="179"/>
      <c r="S2" s="179"/>
      <c r="T2" s="182"/>
      <c r="U2" s="182"/>
      <c r="V2" s="179"/>
      <c r="W2" s="179"/>
      <c r="X2" s="179"/>
      <c r="Y2" s="182"/>
      <c r="Z2" s="182"/>
      <c r="AA2" s="182"/>
      <c r="AB2" s="175"/>
      <c r="AC2" s="179"/>
      <c r="AD2" s="219"/>
      <c r="AE2" s="219"/>
      <c r="AF2" s="219"/>
      <c r="AG2" s="219"/>
      <c r="AH2" s="175"/>
      <c r="AI2" s="175"/>
      <c r="AJ2" s="175"/>
      <c r="AK2" s="175"/>
      <c r="AL2" s="233"/>
      <c r="AM2" s="233"/>
      <c r="AN2" s="233"/>
      <c r="AO2" s="233"/>
      <c r="AP2" s="233"/>
      <c r="AQ2" s="233"/>
      <c r="AR2" s="233"/>
      <c r="AS2" s="232"/>
      <c r="AT2" s="141"/>
      <c r="AU2" s="141"/>
      <c r="AV2" s="141"/>
      <c r="AW2" s="141"/>
      <c r="AX2" s="141"/>
      <c r="AY2" s="140"/>
    </row>
    <row r="3" spans="1:51" x14ac:dyDescent="0.15">
      <c r="A3" s="141"/>
      <c r="B3" s="179"/>
      <c r="C3" s="179"/>
      <c r="D3" s="182"/>
      <c r="E3" s="179"/>
      <c r="F3" s="179"/>
      <c r="G3" s="179"/>
      <c r="H3" s="179"/>
      <c r="I3" s="179"/>
      <c r="J3" s="179"/>
      <c r="K3" s="182"/>
      <c r="L3" s="179"/>
      <c r="M3" s="179"/>
      <c r="N3" s="179"/>
      <c r="O3" s="182"/>
      <c r="P3" s="182"/>
      <c r="Q3" s="179"/>
      <c r="R3" s="179"/>
      <c r="S3" s="179"/>
      <c r="T3" s="182"/>
      <c r="U3" s="182"/>
      <c r="V3" s="207"/>
      <c r="W3" s="207"/>
      <c r="X3" s="207"/>
      <c r="Y3" s="182"/>
      <c r="Z3" s="182"/>
      <c r="AA3" s="182"/>
      <c r="AB3" s="191"/>
      <c r="AC3" s="207"/>
      <c r="AD3" s="207"/>
      <c r="AE3" s="179"/>
      <c r="AF3" s="256"/>
      <c r="AG3" s="179"/>
      <c r="AH3" s="191"/>
      <c r="AI3" s="191"/>
      <c r="AJ3" s="191"/>
      <c r="AK3" s="207"/>
      <c r="AL3" s="207"/>
      <c r="AM3" s="193"/>
      <c r="AN3" s="193"/>
      <c r="AO3" s="193"/>
      <c r="AP3" s="191"/>
      <c r="AQ3" s="175"/>
      <c r="AR3" s="175"/>
      <c r="AS3" s="141"/>
      <c r="AT3" s="141"/>
      <c r="AU3" s="141"/>
      <c r="AV3" s="141"/>
      <c r="AW3" s="141"/>
      <c r="AX3" s="141"/>
      <c r="AY3" s="140"/>
    </row>
    <row r="4" spans="1:51" ht="17.25" x14ac:dyDescent="0.2">
      <c r="A4" s="141"/>
      <c r="B4" s="179"/>
      <c r="C4" s="179"/>
      <c r="D4" s="182"/>
      <c r="E4" s="179"/>
      <c r="F4" s="179"/>
      <c r="G4" s="179"/>
      <c r="H4" s="230" t="s">
        <v>67</v>
      </c>
      <c r="I4" s="229"/>
      <c r="J4" s="229"/>
      <c r="K4" s="229"/>
      <c r="L4" s="229"/>
      <c r="M4" s="229"/>
      <c r="N4" s="229"/>
      <c r="O4" s="229"/>
      <c r="P4" s="229"/>
      <c r="Q4" s="175"/>
      <c r="R4" s="189"/>
      <c r="S4" s="189"/>
      <c r="T4" s="182"/>
      <c r="U4" s="182"/>
      <c r="V4" s="207"/>
      <c r="W4" s="207"/>
      <c r="X4" s="207"/>
      <c r="Y4" s="411" t="str">
        <f>VLOOKUP(AB5,$F$6:$Q$9,3,FALSE)</f>
        <v>仁多中</v>
      </c>
      <c r="Z4" s="411"/>
      <c r="AA4" s="411"/>
      <c r="AB4" s="411"/>
      <c r="AC4" s="411"/>
      <c r="AD4" s="411"/>
      <c r="AE4" s="179"/>
      <c r="AF4" s="179"/>
      <c r="AG4" s="411" t="str">
        <f>VLOOKUP(AI5,$F$6:$Q$9,3,FALSE)</f>
        <v>桜ヶ丘</v>
      </c>
      <c r="AH4" s="411"/>
      <c r="AI4" s="411"/>
      <c r="AJ4" s="411"/>
      <c r="AK4" s="411"/>
      <c r="AL4" s="193"/>
      <c r="AM4" s="193"/>
      <c r="AN4" s="193"/>
      <c r="AO4" s="228"/>
      <c r="AP4" s="191"/>
      <c r="AQ4" s="175"/>
      <c r="AR4" s="175"/>
      <c r="AS4" s="141"/>
      <c r="AT4" s="141"/>
      <c r="AU4" s="141"/>
      <c r="AV4" s="141"/>
      <c r="AW4" s="141"/>
      <c r="AX4" s="141"/>
      <c r="AY4" s="140"/>
    </row>
    <row r="5" spans="1:51" ht="15" customHeight="1" x14ac:dyDescent="0.15">
      <c r="A5" s="141"/>
      <c r="B5" s="179"/>
      <c r="C5" s="179"/>
      <c r="D5" s="182"/>
      <c r="E5" s="179"/>
      <c r="F5" s="255" t="s">
        <v>64</v>
      </c>
      <c r="G5" s="254"/>
      <c r="H5" s="412" t="s">
        <v>63</v>
      </c>
      <c r="I5" s="413"/>
      <c r="J5" s="413"/>
      <c r="K5" s="413"/>
      <c r="L5" s="413"/>
      <c r="M5" s="413"/>
      <c r="N5" s="413"/>
      <c r="O5" s="413"/>
      <c r="P5" s="413"/>
      <c r="Q5" s="253"/>
      <c r="R5" s="508"/>
      <c r="S5" s="508"/>
      <c r="T5" s="252"/>
      <c r="U5" s="225"/>
      <c r="V5" s="225"/>
      <c r="W5" s="225"/>
      <c r="X5" s="207"/>
      <c r="Y5" s="207"/>
      <c r="Z5" s="207"/>
      <c r="AA5" s="207"/>
      <c r="AB5" s="194">
        <v>2</v>
      </c>
      <c r="AC5" s="207"/>
      <c r="AD5" s="207"/>
      <c r="AE5" s="223">
        <v>5</v>
      </c>
      <c r="AF5" s="179"/>
      <c r="AG5" s="191"/>
      <c r="AH5" s="222"/>
      <c r="AI5" s="221">
        <v>6</v>
      </c>
      <c r="AJ5" s="175"/>
      <c r="AK5" s="191"/>
      <c r="AL5" s="191"/>
      <c r="AM5" s="191"/>
      <c r="AN5" s="191"/>
      <c r="AO5" s="191"/>
      <c r="AP5" s="191"/>
      <c r="AQ5" s="175"/>
      <c r="AR5" s="220"/>
      <c r="AS5" s="141"/>
      <c r="AT5" s="141"/>
      <c r="AU5" s="141"/>
      <c r="AV5" s="202"/>
      <c r="AW5" s="202"/>
      <c r="AX5" s="202"/>
      <c r="AY5" s="140"/>
    </row>
    <row r="6" spans="1:51" ht="20.25" customHeight="1" x14ac:dyDescent="0.15">
      <c r="A6" s="141"/>
      <c r="B6" s="179"/>
      <c r="C6" s="179"/>
      <c r="D6" s="182"/>
      <c r="E6" s="179"/>
      <c r="F6" s="507">
        <v>2</v>
      </c>
      <c r="G6" s="416"/>
      <c r="H6" s="417" t="str">
        <f>IF([1]参加チーム!$E$17=8,LEFT(VLOOKUP(F6,[1]参加チーム!$D$21:$F$28,3,FALSE),3),"")</f>
        <v>仁多中</v>
      </c>
      <c r="I6" s="418"/>
      <c r="J6" s="418"/>
      <c r="K6" s="418"/>
      <c r="L6" s="418"/>
      <c r="M6" s="419" t="s">
        <v>62</v>
      </c>
      <c r="N6" s="419"/>
      <c r="O6" s="419"/>
      <c r="P6" s="419"/>
      <c r="Q6" s="218" t="str">
        <f>VLOOKUP(F6,[1]参加チーム!$D$21:$F$27,2,FALSE)</f>
        <v>B3</v>
      </c>
      <c r="R6" s="420"/>
      <c r="S6" s="420"/>
      <c r="T6" s="210"/>
      <c r="U6" s="209"/>
      <c r="V6" s="209"/>
      <c r="W6" s="209"/>
      <c r="X6" s="187"/>
      <c r="Y6" s="187"/>
      <c r="Z6" s="187"/>
      <c r="AA6" s="187"/>
      <c r="AB6" s="179"/>
      <c r="AC6" s="207"/>
      <c r="AD6" s="207"/>
      <c r="AE6" s="179"/>
      <c r="AF6" s="191"/>
      <c r="AG6" s="191"/>
      <c r="AH6" s="179"/>
      <c r="AI6" s="219"/>
      <c r="AJ6" s="219"/>
      <c r="AK6" s="219"/>
      <c r="AL6" s="219"/>
      <c r="AM6" s="191"/>
      <c r="AN6" s="191"/>
      <c r="AO6" s="191"/>
      <c r="AP6" s="191"/>
      <c r="AQ6" s="175"/>
      <c r="AR6" s="175"/>
      <c r="AS6" s="141"/>
      <c r="AT6" s="190">
        <f>IF(F6="","",F6)</f>
        <v>2</v>
      </c>
      <c r="AU6" s="141"/>
      <c r="AV6" s="202"/>
      <c r="AW6" s="202"/>
      <c r="AX6" s="202"/>
      <c r="AY6" s="140"/>
    </row>
    <row r="7" spans="1:51" ht="20.25" customHeight="1" x14ac:dyDescent="0.15">
      <c r="A7" s="141"/>
      <c r="B7" s="179"/>
      <c r="C7" s="179"/>
      <c r="D7" s="182"/>
      <c r="E7" s="179"/>
      <c r="F7" s="507">
        <v>6</v>
      </c>
      <c r="G7" s="416"/>
      <c r="H7" s="417" t="str">
        <f>IF([1]参加チーム!$E$17=8,LEFT(VLOOKUP(F7,[1]参加チーム!$D$21:$F$28,3,FALSE),3),"")</f>
        <v>桜ヶ丘</v>
      </c>
      <c r="I7" s="418"/>
      <c r="J7" s="418"/>
      <c r="K7" s="418"/>
      <c r="L7" s="418"/>
      <c r="M7" s="419" t="s">
        <v>62</v>
      </c>
      <c r="N7" s="419"/>
      <c r="O7" s="419"/>
      <c r="P7" s="419"/>
      <c r="Q7" s="218" t="str">
        <f>VLOOKUP(F7,[1]参加チーム!$D$21:$F$27,2,FALSE)</f>
        <v>B2</v>
      </c>
      <c r="R7" s="420"/>
      <c r="S7" s="420"/>
      <c r="T7" s="210"/>
      <c r="U7" s="209"/>
      <c r="V7" s="209"/>
      <c r="W7" s="209"/>
      <c r="X7" s="187"/>
      <c r="Y7" s="182"/>
      <c r="Z7" s="217"/>
      <c r="AA7" s="216"/>
      <c r="AB7" s="215">
        <v>22</v>
      </c>
      <c r="AC7" s="181"/>
      <c r="AD7" s="214">
        <v>14</v>
      </c>
      <c r="AE7" s="191"/>
      <c r="AF7" s="207"/>
      <c r="AG7" s="213">
        <v>13</v>
      </c>
      <c r="AH7" s="191"/>
      <c r="AI7" s="213">
        <v>21</v>
      </c>
      <c r="AJ7" s="175"/>
      <c r="AK7" s="212"/>
      <c r="AL7" s="211"/>
      <c r="AM7" s="179"/>
      <c r="AN7" s="191"/>
      <c r="AO7" s="191"/>
      <c r="AP7" s="191"/>
      <c r="AQ7" s="175"/>
      <c r="AR7" s="179"/>
      <c r="AS7" s="141"/>
      <c r="AT7" s="190">
        <f>IF(F7="","",F7)</f>
        <v>6</v>
      </c>
      <c r="AU7" s="141"/>
      <c r="AV7" s="202"/>
      <c r="AW7" s="202"/>
      <c r="AX7" s="202"/>
      <c r="AY7" s="140"/>
    </row>
    <row r="8" spans="1:51" ht="20.25" customHeight="1" x14ac:dyDescent="0.15">
      <c r="A8" s="141"/>
      <c r="B8" s="179"/>
      <c r="C8" s="179"/>
      <c r="D8" s="182"/>
      <c r="E8" s="179"/>
      <c r="F8" s="507">
        <v>5</v>
      </c>
      <c r="G8" s="416"/>
      <c r="H8" s="417" t="str">
        <f>IF([1]参加チーム!$E$17=8,LEFT(VLOOKUP(F8,[1]参加チーム!$D$21:$F$28,3,FALSE),3),"")</f>
        <v>玖珂中</v>
      </c>
      <c r="I8" s="418"/>
      <c r="J8" s="418"/>
      <c r="K8" s="418"/>
      <c r="L8" s="418"/>
      <c r="M8" s="419" t="s">
        <v>62</v>
      </c>
      <c r="N8" s="419"/>
      <c r="O8" s="419"/>
      <c r="P8" s="419"/>
      <c r="Q8" s="218" t="str">
        <f>VLOOKUP(F8,[1]参加チーム!$D$21:$F$27,2,FALSE)</f>
        <v>B7</v>
      </c>
      <c r="R8" s="420"/>
      <c r="S8" s="420"/>
      <c r="T8" s="210"/>
      <c r="U8" s="209"/>
      <c r="V8" s="209"/>
      <c r="W8" s="209"/>
      <c r="X8" s="192"/>
      <c r="Y8" s="192"/>
      <c r="Z8" s="192"/>
      <c r="AA8" s="192"/>
      <c r="AB8" s="179"/>
      <c r="AC8" s="208"/>
      <c r="AD8" s="207"/>
      <c r="AE8" s="207"/>
      <c r="AF8" s="205"/>
      <c r="AG8" s="206"/>
      <c r="AH8" s="205"/>
      <c r="AI8" s="191"/>
      <c r="AJ8" s="175"/>
      <c r="AK8" s="179"/>
      <c r="AL8" s="179"/>
      <c r="AM8" s="205"/>
      <c r="AN8" s="205"/>
      <c r="AO8" s="205"/>
      <c r="AP8" s="191"/>
      <c r="AQ8" s="179"/>
      <c r="AR8" s="204"/>
      <c r="AS8" s="203"/>
      <c r="AT8" s="190">
        <f>IF(F8="","",F8)</f>
        <v>5</v>
      </c>
      <c r="AU8" s="141"/>
      <c r="AV8" s="202"/>
      <c r="AW8" s="202"/>
      <c r="AX8" s="202"/>
      <c r="AY8" s="140"/>
    </row>
    <row r="9" spans="1:51" ht="20.25" customHeight="1" x14ac:dyDescent="0.15">
      <c r="A9" s="141"/>
      <c r="B9" s="179"/>
      <c r="C9" s="179"/>
      <c r="D9" s="182"/>
      <c r="E9" s="179"/>
      <c r="F9" s="507">
        <v>7</v>
      </c>
      <c r="G9" s="416"/>
      <c r="H9" s="417" t="str">
        <f>IF([1]参加チーム!$E$17=8,LEFT(VLOOKUP(F9,[1]参加チーム!$D$21:$F$28,3,FALSE),3),"")</f>
        <v>瀬戸中</v>
      </c>
      <c r="I9" s="418"/>
      <c r="J9" s="418"/>
      <c r="K9" s="418"/>
      <c r="L9" s="418"/>
      <c r="M9" s="419" t="s">
        <v>62</v>
      </c>
      <c r="N9" s="419"/>
      <c r="O9" s="419"/>
      <c r="P9" s="419"/>
      <c r="Q9" s="218" t="str">
        <f>VLOOKUP(F9,[1]参加チーム!$D$21:$F$27,2,FALSE)</f>
        <v>B6</v>
      </c>
      <c r="R9" s="420"/>
      <c r="S9" s="420"/>
      <c r="T9" s="210"/>
      <c r="U9" s="209"/>
      <c r="V9" s="209"/>
      <c r="W9" s="209"/>
      <c r="X9" s="187"/>
      <c r="Y9" s="187"/>
      <c r="Z9" s="187"/>
      <c r="AA9" s="187"/>
      <c r="AB9" s="198">
        <v>5</v>
      </c>
      <c r="AC9" s="197"/>
      <c r="AD9" s="196"/>
      <c r="AE9" s="179"/>
      <c r="AF9" s="195">
        <v>6</v>
      </c>
      <c r="AG9" s="179"/>
      <c r="AH9" s="186"/>
      <c r="AI9" s="194">
        <v>7</v>
      </c>
      <c r="AJ9" s="175"/>
      <c r="AK9" s="193"/>
      <c r="AL9" s="191"/>
      <c r="AM9" s="191"/>
      <c r="AN9" s="191"/>
      <c r="AO9" s="191"/>
      <c r="AP9" s="191"/>
      <c r="AQ9" s="175"/>
      <c r="AR9" s="175"/>
      <c r="AS9" s="141"/>
      <c r="AT9" s="190">
        <f>IF(F9="","",F9)</f>
        <v>7</v>
      </c>
      <c r="AU9" s="141"/>
      <c r="AV9" s="202"/>
      <c r="AW9" s="202"/>
      <c r="AX9" s="202"/>
      <c r="AY9" s="140"/>
    </row>
    <row r="10" spans="1:51" ht="20.25" customHeight="1" x14ac:dyDescent="0.15">
      <c r="A10" s="141"/>
      <c r="B10" s="179"/>
      <c r="C10" s="179"/>
      <c r="D10" s="182"/>
      <c r="E10" s="179"/>
      <c r="F10" s="179"/>
      <c r="G10" s="245">
        <f>Q10</f>
        <v>0</v>
      </c>
      <c r="H10" s="251"/>
      <c r="I10" s="251"/>
      <c r="J10" s="251"/>
      <c r="K10" s="251"/>
      <c r="L10" s="251"/>
      <c r="M10" s="251"/>
      <c r="N10" s="251"/>
      <c r="O10" s="251"/>
      <c r="P10" s="250">
        <f>COUNTA(H6:L9)</f>
        <v>4</v>
      </c>
      <c r="Q10" s="510"/>
      <c r="R10" s="510"/>
      <c r="S10" s="510"/>
      <c r="T10" s="187"/>
      <c r="U10" s="187"/>
      <c r="V10" s="187"/>
      <c r="W10" s="179"/>
      <c r="X10" s="187"/>
      <c r="Y10" s="187"/>
      <c r="Z10" s="422" t="str">
        <f>VLOOKUP(AB9,$F$6:$Q$9,3,FALSE)</f>
        <v>玖珂中</v>
      </c>
      <c r="AA10" s="422"/>
      <c r="AB10" s="422"/>
      <c r="AC10" s="422"/>
      <c r="AD10" s="422"/>
      <c r="AE10" s="186"/>
      <c r="AF10" s="179"/>
      <c r="AG10" s="422" t="str">
        <f>VLOOKUP(AI9,$F$6:$Q$9,3,FALSE)</f>
        <v>瀬戸中</v>
      </c>
      <c r="AH10" s="422"/>
      <c r="AI10" s="422"/>
      <c r="AJ10" s="422"/>
      <c r="AK10" s="422"/>
      <c r="AL10" s="207"/>
      <c r="AM10" s="193" t="str">
        <f>IF(P10=3,AT8,"")</f>
        <v/>
      </c>
      <c r="AN10" s="193"/>
      <c r="AO10" s="193"/>
      <c r="AP10" s="207"/>
      <c r="AQ10" s="249"/>
      <c r="AR10" s="175"/>
      <c r="AS10" s="141"/>
      <c r="AT10" s="141"/>
      <c r="AU10" s="141"/>
      <c r="AV10" s="141"/>
      <c r="AW10" s="141"/>
      <c r="AX10" s="141"/>
      <c r="AY10" s="140"/>
    </row>
    <row r="11" spans="1:51" ht="26.25" customHeight="1" x14ac:dyDescent="0.15">
      <c r="A11" s="141"/>
      <c r="B11" s="179"/>
      <c r="C11" s="179"/>
      <c r="D11" s="182"/>
      <c r="E11" s="179"/>
      <c r="F11" s="179"/>
      <c r="G11" s="179"/>
      <c r="H11" s="179"/>
      <c r="I11" s="175"/>
      <c r="J11" s="248" t="s">
        <v>66</v>
      </c>
      <c r="K11" s="248"/>
      <c r="L11" s="248"/>
      <c r="M11" s="248"/>
      <c r="N11" s="175"/>
      <c r="O11" s="189"/>
      <c r="P11" s="182"/>
      <c r="Q11" s="175"/>
      <c r="R11" s="179"/>
      <c r="S11" s="220"/>
      <c r="T11" s="189"/>
      <c r="U11" s="189"/>
      <c r="V11" s="246"/>
      <c r="W11" s="179"/>
      <c r="X11" s="179"/>
      <c r="Y11" s="247"/>
      <c r="Z11" s="182"/>
      <c r="AA11" s="182"/>
      <c r="AB11" s="179"/>
      <c r="AC11" s="179"/>
      <c r="AD11" s="179"/>
      <c r="AE11" s="192"/>
      <c r="AF11" s="245"/>
      <c r="AG11" s="179"/>
      <c r="AH11" s="179"/>
      <c r="AI11" s="179"/>
      <c r="AJ11" s="175"/>
      <c r="AK11" s="179"/>
      <c r="AL11" s="205"/>
      <c r="AM11" s="246"/>
      <c r="AN11" s="246"/>
      <c r="AO11" s="245"/>
      <c r="AP11" s="244"/>
      <c r="AQ11" s="204"/>
      <c r="AR11" s="243"/>
      <c r="AS11" s="141"/>
      <c r="AT11" s="141"/>
      <c r="AU11" s="141"/>
      <c r="AV11" s="141"/>
      <c r="AW11" s="141"/>
      <c r="AX11" s="141"/>
      <c r="AY11" s="140"/>
    </row>
    <row r="12" spans="1:51" ht="13.5" customHeight="1" x14ac:dyDescent="0.15">
      <c r="A12" s="141"/>
      <c r="B12" s="179"/>
      <c r="C12" s="179"/>
      <c r="D12" s="182"/>
      <c r="E12" s="179"/>
      <c r="F12" s="179"/>
      <c r="G12" s="179"/>
      <c r="H12" s="179"/>
      <c r="I12" s="175"/>
      <c r="J12" s="175"/>
      <c r="K12" s="189"/>
      <c r="L12" s="175"/>
      <c r="M12" s="175"/>
      <c r="N12" s="175"/>
      <c r="O12" s="189"/>
      <c r="P12" s="189"/>
      <c r="Q12" s="178"/>
      <c r="R12" s="178"/>
      <c r="S12" s="178"/>
      <c r="T12" s="188"/>
      <c r="U12" s="188"/>
      <c r="V12" s="178"/>
      <c r="W12" s="176"/>
      <c r="X12" s="176"/>
      <c r="Y12" s="181"/>
      <c r="Z12" s="181"/>
      <c r="AA12" s="181"/>
      <c r="AB12" s="180"/>
      <c r="AC12" s="179"/>
      <c r="AD12" s="179"/>
      <c r="AE12" s="241"/>
      <c r="AF12" s="241"/>
      <c r="AG12" s="241"/>
      <c r="AH12" s="185"/>
      <c r="AI12" s="185"/>
      <c r="AJ12" s="242"/>
      <c r="AK12" s="185"/>
      <c r="AL12" s="185"/>
      <c r="AM12" s="185"/>
      <c r="AN12" s="423"/>
      <c r="AO12" s="423"/>
      <c r="AP12" s="184"/>
      <c r="AQ12" s="183"/>
      <c r="AR12" s="174"/>
      <c r="AS12" s="141"/>
      <c r="AT12" s="141"/>
      <c r="AU12" s="141"/>
      <c r="AV12" s="141"/>
      <c r="AW12" s="141"/>
      <c r="AX12" s="141"/>
      <c r="AY12" s="140"/>
    </row>
    <row r="13" spans="1:51" ht="12" customHeight="1" x14ac:dyDescent="0.15">
      <c r="A13" s="141"/>
      <c r="B13" s="241"/>
      <c r="C13" s="179"/>
      <c r="D13" s="182"/>
      <c r="E13" s="179"/>
      <c r="F13" s="179"/>
      <c r="G13" s="179"/>
      <c r="H13" s="179"/>
      <c r="I13" s="179"/>
      <c r="J13" s="179"/>
      <c r="K13" s="182"/>
      <c r="L13" s="179"/>
      <c r="M13" s="179"/>
      <c r="N13" s="179"/>
      <c r="O13" s="182"/>
      <c r="P13" s="182"/>
      <c r="Q13" s="176"/>
      <c r="R13" s="176"/>
      <c r="S13" s="176"/>
      <c r="T13" s="181"/>
      <c r="U13" s="181"/>
      <c r="V13" s="176"/>
      <c r="W13" s="176"/>
      <c r="X13" s="176"/>
      <c r="Y13" s="181"/>
      <c r="Z13" s="181"/>
      <c r="AA13" s="181"/>
      <c r="AB13" s="180"/>
      <c r="AC13" s="179"/>
      <c r="AD13" s="179"/>
      <c r="AE13" s="177"/>
      <c r="AF13" s="177"/>
      <c r="AG13" s="177"/>
      <c r="AH13" s="176"/>
      <c r="AI13" s="176"/>
      <c r="AJ13" s="178"/>
      <c r="AK13" s="177"/>
      <c r="AL13" s="176"/>
      <c r="AM13" s="175"/>
      <c r="AN13" s="175"/>
      <c r="AO13" s="175"/>
      <c r="AP13" s="175"/>
      <c r="AQ13" s="175"/>
      <c r="AR13" s="174"/>
      <c r="AS13" s="141"/>
      <c r="AT13" s="141" t="s">
        <v>61</v>
      </c>
      <c r="AU13" s="141"/>
      <c r="AV13" s="173">
        <v>4</v>
      </c>
      <c r="AW13" s="509" t="s">
        <v>49</v>
      </c>
      <c r="AX13" s="509"/>
      <c r="AY13" s="140"/>
    </row>
    <row r="14" spans="1:51" x14ac:dyDescent="0.15">
      <c r="A14" s="172"/>
      <c r="B14" s="171" t="s">
        <v>60</v>
      </c>
      <c r="C14" s="412" t="s">
        <v>59</v>
      </c>
      <c r="D14" s="413"/>
      <c r="E14" s="413"/>
      <c r="F14" s="413"/>
      <c r="G14" s="413"/>
      <c r="H14" s="413"/>
      <c r="I14" s="413"/>
      <c r="J14" s="413"/>
      <c r="K14" s="413"/>
      <c r="L14" s="413"/>
      <c r="M14" s="413"/>
      <c r="N14" s="170" t="s">
        <v>58</v>
      </c>
      <c r="O14" s="169"/>
      <c r="P14" s="169"/>
      <c r="Q14" s="170"/>
      <c r="R14" s="170" t="s">
        <v>39</v>
      </c>
      <c r="S14" s="170"/>
      <c r="T14" s="169"/>
      <c r="U14" s="169"/>
      <c r="V14" s="170"/>
      <c r="W14" s="170"/>
      <c r="X14" s="170"/>
      <c r="Y14" s="169"/>
      <c r="Z14" s="169"/>
      <c r="AA14" s="169"/>
      <c r="AB14" s="413" t="s">
        <v>87</v>
      </c>
      <c r="AC14" s="413"/>
      <c r="AD14" s="413"/>
      <c r="AE14" s="413"/>
      <c r="AF14" s="413"/>
      <c r="AG14" s="168"/>
      <c r="AH14" s="167" t="s">
        <v>49</v>
      </c>
      <c r="AI14" s="167"/>
      <c r="AJ14" s="168"/>
      <c r="AK14" s="167"/>
      <c r="AL14" s="167"/>
      <c r="AM14" s="413" t="s">
        <v>87</v>
      </c>
      <c r="AN14" s="413"/>
      <c r="AO14" s="413"/>
      <c r="AP14" s="413"/>
      <c r="AQ14" s="413"/>
      <c r="AR14" s="436"/>
      <c r="AS14" s="166"/>
      <c r="AT14" s="141" t="s">
        <v>88</v>
      </c>
      <c r="AU14" s="165" t="s">
        <v>89</v>
      </c>
      <c r="AV14" s="141"/>
      <c r="AW14" s="141" t="s">
        <v>56</v>
      </c>
      <c r="AX14" s="141" t="s">
        <v>55</v>
      </c>
      <c r="AY14" s="140"/>
    </row>
    <row r="15" spans="1:51" ht="14.25" customHeight="1" x14ac:dyDescent="0.15">
      <c r="A15" s="159"/>
      <c r="B15" s="158">
        <f>[1]参加チーム!$J$5</f>
        <v>43672</v>
      </c>
      <c r="C15" s="437" t="str">
        <f>IF(MOD(N15,2)=0,"B","A")&amp;"　コート"</f>
        <v>A　コート</v>
      </c>
      <c r="D15" s="438"/>
      <c r="E15" s="438"/>
      <c r="F15" s="438"/>
      <c r="G15" s="438"/>
      <c r="H15" s="438"/>
      <c r="I15" s="438"/>
      <c r="J15" s="438"/>
      <c r="K15" s="438"/>
      <c r="L15" s="438"/>
      <c r="M15" s="438"/>
      <c r="N15" s="441">
        <v>5</v>
      </c>
      <c r="O15" s="441"/>
      <c r="P15" s="441"/>
      <c r="Q15" s="443" t="str">
        <f>VLOOKUP(N15,[1]リスト!$C$2:$F$34,2,FALSE)</f>
        <v>15：30</v>
      </c>
      <c r="R15" s="443"/>
      <c r="S15" s="443"/>
      <c r="T15" s="443"/>
      <c r="U15" s="445" t="s">
        <v>93</v>
      </c>
      <c r="V15" s="445"/>
      <c r="W15" s="447"/>
      <c r="X15" s="447"/>
      <c r="Y15" s="447"/>
      <c r="Z15" s="447"/>
      <c r="AA15" s="449">
        <f>IF($P$10=4,AT15,"")</f>
        <v>2</v>
      </c>
      <c r="AB15" s="451" t="str">
        <f>VLOOKUP(AT15,$F$6:$Q$9,12,FALSE)</f>
        <v>B3</v>
      </c>
      <c r="AC15" s="424" t="str">
        <f>VLOOKUP(AT15,$F$6:$Q$9,3,FALSE)</f>
        <v>仁多中</v>
      </c>
      <c r="AD15" s="424" t="str">
        <f>IF($P$9=3,VLOOKUP(AC15,$G$6:$S$9,2,FALSE),"")</f>
        <v/>
      </c>
      <c r="AE15" s="424" t="str">
        <f>IF($P$9=3,VLOOKUP(AD15,$G$6:$S$9,2,FALSE),"")</f>
        <v/>
      </c>
      <c r="AF15" s="424" t="str">
        <f>IF($P$9=3,VLOOKUP(AE15,$G$6:$S$9,2,FALSE),"")</f>
        <v/>
      </c>
      <c r="AG15" s="424" t="str">
        <f>IF($P$9=3,VLOOKUP(AF15,$G$6:$S$9,2,FALSE),"")</f>
        <v/>
      </c>
      <c r="AH15" s="426">
        <f>IF(AI15="","",SUM(AI15:AI16))</f>
        <v>10</v>
      </c>
      <c r="AI15" s="156">
        <f>IF(日程・対戦記録表!Q13="","",日程・対戦記録表!Q13)</f>
        <v>3</v>
      </c>
      <c r="AJ15" s="157" t="s">
        <v>94</v>
      </c>
      <c r="AK15" s="240">
        <f>IF(日程・対戦記録表!R13="","",日程・対戦記録表!R13)</f>
        <v>0</v>
      </c>
      <c r="AL15" s="428">
        <f>IF(AK15="","",SUM(AK15:AK16))</f>
        <v>0</v>
      </c>
      <c r="AM15" s="430" t="str">
        <f>VLOOKUP(AU15,$F$6:$Q$9,3,FALSE)</f>
        <v>桜ヶ丘</v>
      </c>
      <c r="AN15" s="430" t="str">
        <f>IF($P$9=3,VLOOKUP(AM15,$G$6:$S$9,2,FALSE),"")</f>
        <v/>
      </c>
      <c r="AO15" s="430" t="str">
        <f>IF($P$9=3,VLOOKUP(AN15,$G$6:$S$9,2,FALSE),"")</f>
        <v/>
      </c>
      <c r="AP15" s="430" t="str">
        <f>IF($P$9=3,VLOOKUP(AO15,$G$6:$S$9,2,FALSE),"")</f>
        <v/>
      </c>
      <c r="AQ15" s="430" t="str">
        <f>IF($P$9=3,VLOOKUP(AP15,$G$6:$S$9,2,FALSE),"")</f>
        <v/>
      </c>
      <c r="AR15" s="432" t="str">
        <f>VLOOKUP(AU15,$F$6:$Q$9,12,FALSE)</f>
        <v>B2</v>
      </c>
      <c r="AS15" s="434">
        <f>IF($P$10=4,AU15,"")</f>
        <v>6</v>
      </c>
      <c r="AT15" s="164">
        <v>2</v>
      </c>
      <c r="AU15" s="163">
        <v>6</v>
      </c>
      <c r="AV15" s="155" t="str">
        <f>AT15&amp;AU15</f>
        <v>26</v>
      </c>
      <c r="AW15" s="155">
        <f>IF(AI15="","",AI15)</f>
        <v>3</v>
      </c>
      <c r="AX15" s="155">
        <f>IF(AI16="","",AI16)</f>
        <v>7</v>
      </c>
      <c r="AY15" s="140"/>
    </row>
    <row r="16" spans="1:51" ht="13.5" customHeight="1" x14ac:dyDescent="0.15">
      <c r="A16" s="154" t="str">
        <f>IF(A15="","",WEEKDAY(A15))</f>
        <v/>
      </c>
      <c r="B16" s="160">
        <f>IF(B15="","",WEEKDAY(B15))</f>
        <v>6</v>
      </c>
      <c r="C16" s="439"/>
      <c r="D16" s="440"/>
      <c r="E16" s="440"/>
      <c r="F16" s="440"/>
      <c r="G16" s="440"/>
      <c r="H16" s="440"/>
      <c r="I16" s="440"/>
      <c r="J16" s="440"/>
      <c r="K16" s="440"/>
      <c r="L16" s="440"/>
      <c r="M16" s="440"/>
      <c r="N16" s="442"/>
      <c r="O16" s="442"/>
      <c r="P16" s="442"/>
      <c r="Q16" s="444"/>
      <c r="R16" s="444"/>
      <c r="S16" s="444"/>
      <c r="T16" s="444"/>
      <c r="U16" s="446"/>
      <c r="V16" s="446"/>
      <c r="W16" s="448"/>
      <c r="X16" s="448"/>
      <c r="Y16" s="448"/>
      <c r="Z16" s="448"/>
      <c r="AA16" s="450"/>
      <c r="AB16" s="452"/>
      <c r="AC16" s="425"/>
      <c r="AD16" s="425"/>
      <c r="AE16" s="425"/>
      <c r="AF16" s="425"/>
      <c r="AG16" s="425"/>
      <c r="AH16" s="427"/>
      <c r="AI16" s="151">
        <f>IF(日程・対戦記録表!Q14="","",日程・対戦記録表!Q14)</f>
        <v>7</v>
      </c>
      <c r="AJ16" s="152" t="s">
        <v>94</v>
      </c>
      <c r="AK16" s="239">
        <f>IF(日程・対戦記録表!R14="","",日程・対戦記録表!R14)</f>
        <v>0</v>
      </c>
      <c r="AL16" s="429"/>
      <c r="AM16" s="431"/>
      <c r="AN16" s="431"/>
      <c r="AO16" s="431"/>
      <c r="AP16" s="431"/>
      <c r="AQ16" s="431"/>
      <c r="AR16" s="433"/>
      <c r="AS16" s="435"/>
      <c r="AT16" s="162"/>
      <c r="AU16" s="161"/>
      <c r="AV16" s="149" t="str">
        <f>AU15&amp;AT15</f>
        <v>62</v>
      </c>
      <c r="AW16" s="149">
        <f>IF(AK15="","",AK15)</f>
        <v>0</v>
      </c>
      <c r="AX16" s="149">
        <f>IF(AK16="","",AK16)</f>
        <v>0</v>
      </c>
      <c r="AY16" s="140"/>
    </row>
    <row r="17" spans="1:51" ht="13.5" customHeight="1" x14ac:dyDescent="0.15">
      <c r="A17" s="159"/>
      <c r="B17" s="158">
        <f>[1]参加チーム!$J$5</f>
        <v>43672</v>
      </c>
      <c r="C17" s="437" t="str">
        <f>IF(MOD(N17,2)=0,"B","A")&amp;"　コート"</f>
        <v>B　コート</v>
      </c>
      <c r="D17" s="438"/>
      <c r="E17" s="438"/>
      <c r="F17" s="438"/>
      <c r="G17" s="438"/>
      <c r="H17" s="438"/>
      <c r="I17" s="438"/>
      <c r="J17" s="438"/>
      <c r="K17" s="438"/>
      <c r="L17" s="438"/>
      <c r="M17" s="438"/>
      <c r="N17" s="441">
        <v>6</v>
      </c>
      <c r="O17" s="441"/>
      <c r="P17" s="441"/>
      <c r="Q17" s="443" t="str">
        <f>VLOOKUP(N17,[1]リスト!$C$2:$F$34,2,FALSE)</f>
        <v>15：30</v>
      </c>
      <c r="R17" s="443"/>
      <c r="S17" s="443"/>
      <c r="T17" s="443"/>
      <c r="U17" s="445" t="s">
        <v>82</v>
      </c>
      <c r="V17" s="445"/>
      <c r="W17" s="447"/>
      <c r="X17" s="447"/>
      <c r="Y17" s="447"/>
      <c r="Z17" s="447"/>
      <c r="AA17" s="449">
        <f>IF($P$10=4,AT17,"")</f>
        <v>5</v>
      </c>
      <c r="AB17" s="451" t="str">
        <f>VLOOKUP(AT17,$F$6:$Q$9,12,FALSE)</f>
        <v>B7</v>
      </c>
      <c r="AC17" s="424" t="str">
        <f>VLOOKUP(AT17,$F$6:$Q$9,3,FALSE)</f>
        <v>玖珂中</v>
      </c>
      <c r="AD17" s="424" t="str">
        <f>IF($P$9=3,VLOOKUP(AC17,$G$6:$S$9,2,FALSE),"")</f>
        <v/>
      </c>
      <c r="AE17" s="424" t="str">
        <f>IF($P$9=3,VLOOKUP(AD17,$G$6:$S$9,2,FALSE),"")</f>
        <v/>
      </c>
      <c r="AF17" s="424" t="str">
        <f>IF($P$9=3,VLOOKUP(AE17,$G$6:$S$9,2,FALSE),"")</f>
        <v/>
      </c>
      <c r="AG17" s="424" t="str">
        <f>IF($P$9=3,VLOOKUP(AF17,$G$6:$S$9,2,FALSE),"")</f>
        <v/>
      </c>
      <c r="AH17" s="426">
        <f>IF(AI17="","",SUM(AI17:AI18))</f>
        <v>10</v>
      </c>
      <c r="AI17" s="156">
        <f>IF(日程・対戦記録表!AH13="","",日程・対戦記録表!AH13)</f>
        <v>3</v>
      </c>
      <c r="AJ17" s="157" t="s">
        <v>95</v>
      </c>
      <c r="AK17" s="240">
        <f>IF(日程・対戦記録表!AI13="","",日程・対戦記録表!AI13)</f>
        <v>0</v>
      </c>
      <c r="AL17" s="428">
        <f>IF(AK17="","",SUM(AK17:AK18))</f>
        <v>0</v>
      </c>
      <c r="AM17" s="430" t="str">
        <f>VLOOKUP(AU17,$F$6:$Q$9,3,FALSE)</f>
        <v>瀬戸中</v>
      </c>
      <c r="AN17" s="430" t="str">
        <f>IF($P$9=3,VLOOKUP(AM17,$G$6:$S$9,2,FALSE),"")</f>
        <v/>
      </c>
      <c r="AO17" s="430" t="str">
        <f>IF($P$9=3,VLOOKUP(AN17,$G$6:$S$9,2,FALSE),"")</f>
        <v/>
      </c>
      <c r="AP17" s="430" t="str">
        <f>IF($P$9=3,VLOOKUP(AO17,$G$6:$S$9,2,FALSE),"")</f>
        <v/>
      </c>
      <c r="AQ17" s="430" t="str">
        <f>IF($P$9=3,VLOOKUP(AP17,$G$6:$S$9,2,FALSE),"")</f>
        <v/>
      </c>
      <c r="AR17" s="432" t="str">
        <f>VLOOKUP(AU17,$F$6:$Q$9,12,FALSE)</f>
        <v>B6</v>
      </c>
      <c r="AS17" s="434">
        <f>IF($P$10=4,AU17,"")</f>
        <v>7</v>
      </c>
      <c r="AT17" s="150">
        <v>5</v>
      </c>
      <c r="AU17" s="150">
        <v>7</v>
      </c>
      <c r="AV17" s="141" t="str">
        <f>AT17&amp;AU17</f>
        <v>57</v>
      </c>
      <c r="AW17" s="155">
        <f>IF(AI17="","",AI17)</f>
        <v>3</v>
      </c>
      <c r="AX17" s="155">
        <f>IF(AI18="","",AI18)</f>
        <v>7</v>
      </c>
      <c r="AY17" s="140"/>
    </row>
    <row r="18" spans="1:51" ht="13.5" customHeight="1" x14ac:dyDescent="0.15">
      <c r="A18" s="154" t="str">
        <f>IF(A17="","",WEEKDAY(A17))</f>
        <v/>
      </c>
      <c r="B18" s="160">
        <f>IF(B17="","",WEEKDAY(B17))</f>
        <v>6</v>
      </c>
      <c r="C18" s="439"/>
      <c r="D18" s="440"/>
      <c r="E18" s="440"/>
      <c r="F18" s="440"/>
      <c r="G18" s="440"/>
      <c r="H18" s="440"/>
      <c r="I18" s="440"/>
      <c r="J18" s="440"/>
      <c r="K18" s="440"/>
      <c r="L18" s="440"/>
      <c r="M18" s="440"/>
      <c r="N18" s="442"/>
      <c r="O18" s="442"/>
      <c r="P18" s="442"/>
      <c r="Q18" s="444"/>
      <c r="R18" s="444"/>
      <c r="S18" s="444"/>
      <c r="T18" s="444"/>
      <c r="U18" s="446"/>
      <c r="V18" s="446"/>
      <c r="W18" s="448"/>
      <c r="X18" s="448"/>
      <c r="Y18" s="448"/>
      <c r="Z18" s="448"/>
      <c r="AA18" s="450"/>
      <c r="AB18" s="452"/>
      <c r="AC18" s="425"/>
      <c r="AD18" s="425"/>
      <c r="AE18" s="425"/>
      <c r="AF18" s="425"/>
      <c r="AG18" s="425"/>
      <c r="AH18" s="427"/>
      <c r="AI18" s="151">
        <f>IF(日程・対戦記録表!AH14="","",日程・対戦記録表!AH14)</f>
        <v>7</v>
      </c>
      <c r="AJ18" s="152" t="s">
        <v>95</v>
      </c>
      <c r="AK18" s="239">
        <f>IF(日程・対戦記録表!AI14="","",日程・対戦記録表!AI14)</f>
        <v>0</v>
      </c>
      <c r="AL18" s="429"/>
      <c r="AM18" s="431"/>
      <c r="AN18" s="431"/>
      <c r="AO18" s="431"/>
      <c r="AP18" s="431"/>
      <c r="AQ18" s="431"/>
      <c r="AR18" s="433"/>
      <c r="AS18" s="435"/>
      <c r="AT18" s="150"/>
      <c r="AU18" s="150"/>
      <c r="AV18" s="141" t="str">
        <f>AU17&amp;AT17</f>
        <v>75</v>
      </c>
      <c r="AW18" s="149">
        <f>IF(AK17="","",AK17)</f>
        <v>0</v>
      </c>
      <c r="AX18" s="149">
        <f>IF(AK18="","",AK18)</f>
        <v>0</v>
      </c>
      <c r="AY18" s="140"/>
    </row>
    <row r="19" spans="1:51" ht="13.5" customHeight="1" x14ac:dyDescent="0.15">
      <c r="A19" s="159"/>
      <c r="B19" s="158">
        <f>[1]参加チーム!$J$5+1</f>
        <v>43673</v>
      </c>
      <c r="C19" s="437" t="str">
        <f>IF(MOD(N19,2)=0,"B","A")&amp;"　コート"</f>
        <v>A　コート</v>
      </c>
      <c r="D19" s="438"/>
      <c r="E19" s="438"/>
      <c r="F19" s="438"/>
      <c r="G19" s="438"/>
      <c r="H19" s="438"/>
      <c r="I19" s="438"/>
      <c r="J19" s="438"/>
      <c r="K19" s="438"/>
      <c r="L19" s="438"/>
      <c r="M19" s="438"/>
      <c r="N19" s="441">
        <v>13</v>
      </c>
      <c r="O19" s="441"/>
      <c r="P19" s="441"/>
      <c r="Q19" s="443" t="str">
        <f>VLOOKUP(N19,[1]リスト!$C$2:$F$34,2,FALSE)</f>
        <v>11：30</v>
      </c>
      <c r="R19" s="443"/>
      <c r="S19" s="443"/>
      <c r="T19" s="443"/>
      <c r="U19" s="445" t="s">
        <v>7</v>
      </c>
      <c r="V19" s="445"/>
      <c r="W19" s="447"/>
      <c r="X19" s="447"/>
      <c r="Y19" s="447"/>
      <c r="Z19" s="447"/>
      <c r="AA19" s="449">
        <f>IF($P$10=4,AT19,"")</f>
        <v>6</v>
      </c>
      <c r="AB19" s="451" t="str">
        <f>VLOOKUP(AT19,$F$6:$Q$9,12,FALSE)</f>
        <v>B2</v>
      </c>
      <c r="AC19" s="424" t="str">
        <f>VLOOKUP(AT19,$F$6:$Q$9,3,FALSE)</f>
        <v>桜ヶ丘</v>
      </c>
      <c r="AD19" s="424" t="str">
        <f>IF($P$9=3,VLOOKUP(AC19,$G$6:$S$9,2,FALSE),"")</f>
        <v/>
      </c>
      <c r="AE19" s="424" t="str">
        <f>IF($P$9=3,VLOOKUP(AD19,$G$6:$S$9,2,FALSE),"")</f>
        <v/>
      </c>
      <c r="AF19" s="424" t="str">
        <f>IF($P$9=3,VLOOKUP(AE19,$G$6:$S$9,2,FALSE),"")</f>
        <v/>
      </c>
      <c r="AG19" s="424" t="str">
        <f>IF($P$9=3,VLOOKUP(AF19,$G$6:$S$9,2,FALSE),"")</f>
        <v/>
      </c>
      <c r="AH19" s="426">
        <f>IF(AI19="","",SUM(AI19:AI20))</f>
        <v>1</v>
      </c>
      <c r="AI19" s="156">
        <f>IF(日程・対戦記録表!Q26="","",日程・対戦記録表!Q26)</f>
        <v>1</v>
      </c>
      <c r="AJ19" s="157" t="s">
        <v>54</v>
      </c>
      <c r="AK19" s="240">
        <f>IF(日程・対戦記録表!R26="","",日程・対戦記録表!R26)</f>
        <v>5</v>
      </c>
      <c r="AL19" s="428">
        <f>IF(AK19="","",SUM(AK19:AK20))</f>
        <v>10</v>
      </c>
      <c r="AM19" s="430" t="str">
        <f>VLOOKUP(AU19,$F$6:$Q$9,3,FALSE)</f>
        <v>玖珂中</v>
      </c>
      <c r="AN19" s="430" t="str">
        <f>IF($P$9=3,VLOOKUP(AM19,$G$6:$S$9,2,FALSE),"")</f>
        <v/>
      </c>
      <c r="AO19" s="430" t="str">
        <f>IF($P$9=3,VLOOKUP(AN19,$G$6:$S$9,2,FALSE),"")</f>
        <v/>
      </c>
      <c r="AP19" s="430" t="str">
        <f>IF($P$9=3,VLOOKUP(AO19,$G$6:$S$9,2,FALSE),"")</f>
        <v/>
      </c>
      <c r="AQ19" s="430" t="str">
        <f>IF($P$9=3,VLOOKUP(AP19,$G$6:$S$9,2,FALSE),"")</f>
        <v/>
      </c>
      <c r="AR19" s="432" t="str">
        <f>VLOOKUP(AU19,$F$6:$Q$9,12,FALSE)</f>
        <v>B7</v>
      </c>
      <c r="AS19" s="434">
        <f>IF($P$10=4,AU19,"")</f>
        <v>5</v>
      </c>
      <c r="AT19" s="150">
        <v>6</v>
      </c>
      <c r="AU19" s="150">
        <v>5</v>
      </c>
      <c r="AV19" s="141" t="str">
        <f>AT19&amp;AU19</f>
        <v>65</v>
      </c>
      <c r="AW19" s="155">
        <f>IF(AI19="","",AI19)</f>
        <v>1</v>
      </c>
      <c r="AX19" s="155">
        <f>IF(AI20="","",AI20)</f>
        <v>0</v>
      </c>
      <c r="AY19" s="140"/>
    </row>
    <row r="20" spans="1:51" ht="13.5" customHeight="1" x14ac:dyDescent="0.15">
      <c r="A20" s="154" t="str">
        <f>IF(A19="","",WEEKDAY(A19))</f>
        <v/>
      </c>
      <c r="B20" s="160">
        <f>IF(B19="","",WEEKDAY(B19))</f>
        <v>7</v>
      </c>
      <c r="C20" s="439"/>
      <c r="D20" s="440"/>
      <c r="E20" s="440"/>
      <c r="F20" s="440"/>
      <c r="G20" s="440"/>
      <c r="H20" s="440"/>
      <c r="I20" s="440"/>
      <c r="J20" s="440"/>
      <c r="K20" s="440"/>
      <c r="L20" s="440"/>
      <c r="M20" s="440"/>
      <c r="N20" s="442"/>
      <c r="O20" s="442"/>
      <c r="P20" s="442"/>
      <c r="Q20" s="444"/>
      <c r="R20" s="444"/>
      <c r="S20" s="444"/>
      <c r="T20" s="444"/>
      <c r="U20" s="446"/>
      <c r="V20" s="446"/>
      <c r="W20" s="448"/>
      <c r="X20" s="448"/>
      <c r="Y20" s="448"/>
      <c r="Z20" s="448"/>
      <c r="AA20" s="450"/>
      <c r="AB20" s="452"/>
      <c r="AC20" s="425"/>
      <c r="AD20" s="425"/>
      <c r="AE20" s="425"/>
      <c r="AF20" s="425"/>
      <c r="AG20" s="425"/>
      <c r="AH20" s="427"/>
      <c r="AI20" s="151">
        <f>IF(日程・対戦記録表!Q27="","",日程・対戦記録表!Q27)</f>
        <v>0</v>
      </c>
      <c r="AJ20" s="152" t="s">
        <v>54</v>
      </c>
      <c r="AK20" s="239">
        <f>IF(日程・対戦記録表!R27="","",日程・対戦記録表!R27)</f>
        <v>5</v>
      </c>
      <c r="AL20" s="429"/>
      <c r="AM20" s="431"/>
      <c r="AN20" s="431"/>
      <c r="AO20" s="431"/>
      <c r="AP20" s="431"/>
      <c r="AQ20" s="431"/>
      <c r="AR20" s="433"/>
      <c r="AS20" s="435"/>
      <c r="AT20" s="150"/>
      <c r="AU20" s="150"/>
      <c r="AV20" s="141" t="str">
        <f>AU19&amp;AT19</f>
        <v>56</v>
      </c>
      <c r="AW20" s="149">
        <f>IF(AK19="","",AK19)</f>
        <v>5</v>
      </c>
      <c r="AX20" s="149">
        <f>IF(AK20="","",AK20)</f>
        <v>5</v>
      </c>
      <c r="AY20" s="140"/>
    </row>
    <row r="21" spans="1:51" ht="13.5" customHeight="1" x14ac:dyDescent="0.15">
      <c r="A21" s="159"/>
      <c r="B21" s="158">
        <f>[1]参加チーム!$J$5+1</f>
        <v>43673</v>
      </c>
      <c r="C21" s="437" t="str">
        <f>IF(MOD(N21,2)=0,"B","A")&amp;"　コート"</f>
        <v>B　コート</v>
      </c>
      <c r="D21" s="438"/>
      <c r="E21" s="438"/>
      <c r="F21" s="438"/>
      <c r="G21" s="438"/>
      <c r="H21" s="438"/>
      <c r="I21" s="438"/>
      <c r="J21" s="438"/>
      <c r="K21" s="438"/>
      <c r="L21" s="438"/>
      <c r="M21" s="438"/>
      <c r="N21" s="441">
        <v>14</v>
      </c>
      <c r="O21" s="441"/>
      <c r="P21" s="441"/>
      <c r="Q21" s="443" t="str">
        <f>VLOOKUP(N21,[1]リスト!$C$2:$F$34,2,FALSE)</f>
        <v>11：30</v>
      </c>
      <c r="R21" s="443"/>
      <c r="S21" s="443"/>
      <c r="T21" s="443"/>
      <c r="U21" s="445" t="s">
        <v>82</v>
      </c>
      <c r="V21" s="445"/>
      <c r="W21" s="447"/>
      <c r="X21" s="447"/>
      <c r="Y21" s="447"/>
      <c r="Z21" s="447"/>
      <c r="AA21" s="449">
        <f>IF($P$10=4,AT21,"")</f>
        <v>2</v>
      </c>
      <c r="AB21" s="451" t="str">
        <f>VLOOKUP(AT21,$F$6:$Q$9,12,FALSE)</f>
        <v>B3</v>
      </c>
      <c r="AC21" s="424" t="str">
        <f>VLOOKUP(AT21,$F$6:$Q$9,3,FALSE)</f>
        <v>仁多中</v>
      </c>
      <c r="AD21" s="424" t="str">
        <f>IF($P$9=3,VLOOKUP(AC21,$G$6:$S$9,2,FALSE),"")</f>
        <v/>
      </c>
      <c r="AE21" s="424" t="str">
        <f>IF($P$9=3,VLOOKUP(AD21,$G$6:$S$9,2,FALSE),"")</f>
        <v/>
      </c>
      <c r="AF21" s="424" t="str">
        <f>IF($P$9=3,VLOOKUP(AE21,$G$6:$S$9,2,FALSE),"")</f>
        <v/>
      </c>
      <c r="AG21" s="424" t="str">
        <f>IF($P$9=3,VLOOKUP(AF21,$G$6:$S$9,2,FALSE),"")</f>
        <v/>
      </c>
      <c r="AH21" s="426">
        <f>IF(AI21="","",SUM(AI21:AI22))</f>
        <v>9</v>
      </c>
      <c r="AI21" s="156">
        <f>IF(日程・対戦記録表!AH26="","",日程・対戦記録表!AH26)</f>
        <v>5</v>
      </c>
      <c r="AJ21" s="157" t="s">
        <v>95</v>
      </c>
      <c r="AK21" s="240">
        <f>IF(日程・対戦記録表!AI26="","",日程・対戦記録表!AI26)</f>
        <v>0</v>
      </c>
      <c r="AL21" s="428">
        <f>IF(AK21="","",SUM(AK21:AK22))</f>
        <v>0</v>
      </c>
      <c r="AM21" s="430" t="str">
        <f>VLOOKUP(AU21,$F$6:$Q$9,3,FALSE)</f>
        <v>瀬戸中</v>
      </c>
      <c r="AN21" s="430" t="str">
        <f>IF($P$9=3,VLOOKUP(AM21,$G$6:$S$9,2,FALSE),"")</f>
        <v/>
      </c>
      <c r="AO21" s="430" t="str">
        <f>IF($P$9=3,VLOOKUP(AN21,$G$6:$S$9,2,FALSE),"")</f>
        <v/>
      </c>
      <c r="AP21" s="430" t="str">
        <f>IF($P$9=3,VLOOKUP(AO21,$G$6:$S$9,2,FALSE),"")</f>
        <v/>
      </c>
      <c r="AQ21" s="430" t="str">
        <f>IF($P$9=3,VLOOKUP(AP21,$G$6:$S$9,2,FALSE),"")</f>
        <v/>
      </c>
      <c r="AR21" s="432" t="str">
        <f>VLOOKUP(AU21,$F$6:$Q$9,12,FALSE)</f>
        <v>B6</v>
      </c>
      <c r="AS21" s="434">
        <f>IF($P$10=4,AU21,"")</f>
        <v>7</v>
      </c>
      <c r="AT21" s="150">
        <v>2</v>
      </c>
      <c r="AU21" s="150">
        <v>7</v>
      </c>
      <c r="AV21" s="141" t="str">
        <f>AT21&amp;AU21</f>
        <v>27</v>
      </c>
      <c r="AW21" s="155">
        <f>IF(AI21="","",AI21)</f>
        <v>5</v>
      </c>
      <c r="AX21" s="155">
        <f>IF(AI22="","",AI22)</f>
        <v>4</v>
      </c>
      <c r="AY21" s="140"/>
    </row>
    <row r="22" spans="1:51" ht="13.5" customHeight="1" x14ac:dyDescent="0.15">
      <c r="A22" s="154" t="str">
        <f>IF(A21="","",WEEKDAY(A21))</f>
        <v/>
      </c>
      <c r="B22" s="160">
        <f>IF(B21="","",WEEKDAY(B21))</f>
        <v>7</v>
      </c>
      <c r="C22" s="439"/>
      <c r="D22" s="440"/>
      <c r="E22" s="440"/>
      <c r="F22" s="440"/>
      <c r="G22" s="440"/>
      <c r="H22" s="440"/>
      <c r="I22" s="440"/>
      <c r="J22" s="440"/>
      <c r="K22" s="440"/>
      <c r="L22" s="440"/>
      <c r="M22" s="440"/>
      <c r="N22" s="442"/>
      <c r="O22" s="442"/>
      <c r="P22" s="442"/>
      <c r="Q22" s="444"/>
      <c r="R22" s="444"/>
      <c r="S22" s="444"/>
      <c r="T22" s="444"/>
      <c r="U22" s="446"/>
      <c r="V22" s="446"/>
      <c r="W22" s="448"/>
      <c r="X22" s="448"/>
      <c r="Y22" s="448"/>
      <c r="Z22" s="448"/>
      <c r="AA22" s="450"/>
      <c r="AB22" s="452"/>
      <c r="AC22" s="425"/>
      <c r="AD22" s="425"/>
      <c r="AE22" s="425"/>
      <c r="AF22" s="425"/>
      <c r="AG22" s="425"/>
      <c r="AH22" s="427"/>
      <c r="AI22" s="151">
        <f>IF(日程・対戦記録表!AH27="","",日程・対戦記録表!AH27)</f>
        <v>4</v>
      </c>
      <c r="AJ22" s="152" t="s">
        <v>94</v>
      </c>
      <c r="AK22" s="239">
        <f>IF(日程・対戦記録表!AI27="","",日程・対戦記録表!AI27)</f>
        <v>0</v>
      </c>
      <c r="AL22" s="429"/>
      <c r="AM22" s="431"/>
      <c r="AN22" s="431"/>
      <c r="AO22" s="431"/>
      <c r="AP22" s="431"/>
      <c r="AQ22" s="431"/>
      <c r="AR22" s="433"/>
      <c r="AS22" s="435"/>
      <c r="AT22" s="150"/>
      <c r="AU22" s="150"/>
      <c r="AV22" s="141" t="str">
        <f>AU21&amp;AT21</f>
        <v>72</v>
      </c>
      <c r="AW22" s="149">
        <f>IF(AK21="","",AK21)</f>
        <v>0</v>
      </c>
      <c r="AX22" s="149">
        <f>IF(AK22="","",AK22)</f>
        <v>0</v>
      </c>
      <c r="AY22" s="140"/>
    </row>
    <row r="23" spans="1:51" ht="13.5" customHeight="1" x14ac:dyDescent="0.15">
      <c r="A23" s="159"/>
      <c r="B23" s="158">
        <f>[1]参加チーム!$J$5+1</f>
        <v>43673</v>
      </c>
      <c r="C23" s="437" t="str">
        <f>IF(MOD(N23,2)=0,"B","A")&amp;"　コート"</f>
        <v>A　コート</v>
      </c>
      <c r="D23" s="438"/>
      <c r="E23" s="438"/>
      <c r="F23" s="438"/>
      <c r="G23" s="438"/>
      <c r="H23" s="438"/>
      <c r="I23" s="438"/>
      <c r="J23" s="438"/>
      <c r="K23" s="438"/>
      <c r="L23" s="438"/>
      <c r="M23" s="438"/>
      <c r="N23" s="441">
        <v>21</v>
      </c>
      <c r="O23" s="441"/>
      <c r="P23" s="441"/>
      <c r="Q23" s="443" t="str">
        <f>VLOOKUP(N23,[1]リスト!$C$2:$F$34,2,FALSE)</f>
        <v>14：30</v>
      </c>
      <c r="R23" s="443"/>
      <c r="S23" s="443"/>
      <c r="T23" s="443"/>
      <c r="U23" s="445" t="s">
        <v>96</v>
      </c>
      <c r="V23" s="445"/>
      <c r="W23" s="447"/>
      <c r="X23" s="447"/>
      <c r="Y23" s="447"/>
      <c r="Z23" s="447"/>
      <c r="AA23" s="449">
        <f>IF($P$10=4,AT23,"")</f>
        <v>6</v>
      </c>
      <c r="AB23" s="451" t="str">
        <f>VLOOKUP(AT23,$F$6:$Q$9,12,FALSE)</f>
        <v>B2</v>
      </c>
      <c r="AC23" s="424" t="str">
        <f>VLOOKUP(AT23,$F$6:$Q$9,3,FALSE)</f>
        <v>桜ヶ丘</v>
      </c>
      <c r="AD23" s="424" t="str">
        <f>IF($P$9=3,VLOOKUP(AC23,$G$6:$S$9,2,FALSE),"")</f>
        <v/>
      </c>
      <c r="AE23" s="424" t="str">
        <f>IF($P$9=3,VLOOKUP(AD23,$G$6:$S$9,2,FALSE),"")</f>
        <v/>
      </c>
      <c r="AF23" s="424" t="str">
        <f>IF($P$9=3,VLOOKUP(AE23,$G$6:$S$9,2,FALSE),"")</f>
        <v/>
      </c>
      <c r="AG23" s="424" t="str">
        <f>IF($P$9=3,VLOOKUP(AF23,$G$6:$S$9,2,FALSE),"")</f>
        <v/>
      </c>
      <c r="AH23" s="426">
        <f>IF(AI23="","",SUM(AI23:AI24))</f>
        <v>3</v>
      </c>
      <c r="AI23" s="156">
        <f>IF(日程・対戦記録表!Q40="","",日程・対戦記録表!Q40)</f>
        <v>2</v>
      </c>
      <c r="AJ23" s="157" t="s">
        <v>97</v>
      </c>
      <c r="AK23" s="240">
        <f>IF(日程・対戦記録表!R40="","",日程・対戦記録表!R40)</f>
        <v>1</v>
      </c>
      <c r="AL23" s="428">
        <f>IF(AK23="","",SUM(AK23:AK24))</f>
        <v>4</v>
      </c>
      <c r="AM23" s="430" t="str">
        <f>VLOOKUP(AU23,$F$6:$Q$9,3,FALSE)</f>
        <v>瀬戸中</v>
      </c>
      <c r="AN23" s="430" t="str">
        <f>IF($P$9=3,VLOOKUP(AM23,$G$6:$S$9,2,FALSE),"")</f>
        <v/>
      </c>
      <c r="AO23" s="430" t="str">
        <f>IF($P$9=3,VLOOKUP(AN23,$G$6:$S$9,2,FALSE),"")</f>
        <v/>
      </c>
      <c r="AP23" s="430" t="str">
        <f>IF($P$9=3,VLOOKUP(AO23,$G$6:$S$9,2,FALSE),"")</f>
        <v/>
      </c>
      <c r="AQ23" s="430" t="str">
        <f>IF($P$9=3,VLOOKUP(AP23,$G$6:$S$9,2,FALSE),"")</f>
        <v/>
      </c>
      <c r="AR23" s="432" t="str">
        <f>VLOOKUP(AU23,$F$6:$Q$9,12,FALSE)</f>
        <v>B6</v>
      </c>
      <c r="AS23" s="434">
        <f>IF($P$10=4,AU23,"")</f>
        <v>7</v>
      </c>
      <c r="AT23" s="150">
        <v>6</v>
      </c>
      <c r="AU23" s="150">
        <v>7</v>
      </c>
      <c r="AV23" s="141" t="str">
        <f>AT23&amp;AU23</f>
        <v>67</v>
      </c>
      <c r="AW23" s="155">
        <f>IF(AI23="","",AI23)</f>
        <v>2</v>
      </c>
      <c r="AX23" s="155">
        <f>IF(AI24="","",AI24)</f>
        <v>1</v>
      </c>
      <c r="AY23" s="140"/>
    </row>
    <row r="24" spans="1:51" ht="13.5" customHeight="1" x14ac:dyDescent="0.15">
      <c r="A24" s="154" t="str">
        <f>IF(A23="","",WEEKDAY(A23))</f>
        <v/>
      </c>
      <c r="B24" s="160">
        <f>IF(B23="","",WEEKDAY(B23))</f>
        <v>7</v>
      </c>
      <c r="C24" s="439"/>
      <c r="D24" s="440"/>
      <c r="E24" s="440"/>
      <c r="F24" s="440"/>
      <c r="G24" s="440"/>
      <c r="H24" s="440"/>
      <c r="I24" s="440"/>
      <c r="J24" s="440"/>
      <c r="K24" s="440"/>
      <c r="L24" s="440"/>
      <c r="M24" s="440"/>
      <c r="N24" s="442"/>
      <c r="O24" s="442"/>
      <c r="P24" s="442"/>
      <c r="Q24" s="444"/>
      <c r="R24" s="444"/>
      <c r="S24" s="444"/>
      <c r="T24" s="444"/>
      <c r="U24" s="446"/>
      <c r="V24" s="446"/>
      <c r="W24" s="448"/>
      <c r="X24" s="448"/>
      <c r="Y24" s="448"/>
      <c r="Z24" s="448"/>
      <c r="AA24" s="450"/>
      <c r="AB24" s="452"/>
      <c r="AC24" s="425"/>
      <c r="AD24" s="425"/>
      <c r="AE24" s="425"/>
      <c r="AF24" s="425"/>
      <c r="AG24" s="425"/>
      <c r="AH24" s="427"/>
      <c r="AI24" s="151">
        <f>IF(日程・対戦記録表!Q41="","",日程・対戦記録表!Q41)</f>
        <v>1</v>
      </c>
      <c r="AJ24" s="152" t="s">
        <v>97</v>
      </c>
      <c r="AK24" s="239">
        <f>IF(日程・対戦記録表!R41="","",日程・対戦記録表!R41)</f>
        <v>3</v>
      </c>
      <c r="AL24" s="429"/>
      <c r="AM24" s="431"/>
      <c r="AN24" s="431"/>
      <c r="AO24" s="431"/>
      <c r="AP24" s="431"/>
      <c r="AQ24" s="431"/>
      <c r="AR24" s="433"/>
      <c r="AS24" s="435"/>
      <c r="AT24" s="150"/>
      <c r="AU24" s="150"/>
      <c r="AV24" s="141" t="str">
        <f>AU23&amp;AT23</f>
        <v>76</v>
      </c>
      <c r="AW24" s="149">
        <f>IF(AK23="","",AK23)</f>
        <v>1</v>
      </c>
      <c r="AX24" s="149">
        <f>IF(AK24="","",AK24)</f>
        <v>3</v>
      </c>
      <c r="AY24" s="140"/>
    </row>
    <row r="25" spans="1:51" ht="13.5" customHeight="1" x14ac:dyDescent="0.15">
      <c r="A25" s="159"/>
      <c r="B25" s="158">
        <f>[1]参加チーム!$J$5+1</f>
        <v>43673</v>
      </c>
      <c r="C25" s="437" t="str">
        <f>IF(MOD(N25,2)=0,"B","A")&amp;"　コート"</f>
        <v>B　コート</v>
      </c>
      <c r="D25" s="438"/>
      <c r="E25" s="438"/>
      <c r="F25" s="438"/>
      <c r="G25" s="438"/>
      <c r="H25" s="438"/>
      <c r="I25" s="438"/>
      <c r="J25" s="438"/>
      <c r="K25" s="438"/>
      <c r="L25" s="438"/>
      <c r="M25" s="438"/>
      <c r="N25" s="441">
        <v>22</v>
      </c>
      <c r="O25" s="441"/>
      <c r="P25" s="441"/>
      <c r="Q25" s="443" t="str">
        <f>VLOOKUP(N25,[1]リスト!$C$2:$F$34,2,FALSE)</f>
        <v>14：30</v>
      </c>
      <c r="R25" s="443"/>
      <c r="S25" s="443"/>
      <c r="T25" s="443"/>
      <c r="U25" s="445" t="s">
        <v>98</v>
      </c>
      <c r="V25" s="445"/>
      <c r="W25" s="447"/>
      <c r="X25" s="447"/>
      <c r="Y25" s="447"/>
      <c r="Z25" s="447"/>
      <c r="AA25" s="449">
        <f>IF($P$10=4,AT25,"")</f>
        <v>2</v>
      </c>
      <c r="AB25" s="451" t="str">
        <f>VLOOKUP(AT25,$F$6:$Q$9,12,FALSE)</f>
        <v>B3</v>
      </c>
      <c r="AC25" s="424" t="str">
        <f>VLOOKUP(AT25,$F$6:$Q$9,3,FALSE)</f>
        <v>仁多中</v>
      </c>
      <c r="AD25" s="424" t="str">
        <f>IF($P$9=3,VLOOKUP(AC25,$G$6:$S$9,2,FALSE),"")</f>
        <v/>
      </c>
      <c r="AE25" s="424" t="str">
        <f>IF($P$9=3,VLOOKUP(AD25,$G$6:$S$9,2,FALSE),"")</f>
        <v/>
      </c>
      <c r="AF25" s="424" t="str">
        <f>IF($P$9=3,VLOOKUP(AE25,$G$6:$S$9,2,FALSE),"")</f>
        <v/>
      </c>
      <c r="AG25" s="424" t="str">
        <f>IF($P$9=3,VLOOKUP(AF25,$G$6:$S$9,2,FALSE),"")</f>
        <v/>
      </c>
      <c r="AH25" s="426">
        <f>IF(AI25="","",SUM(AI25:AI26))</f>
        <v>1</v>
      </c>
      <c r="AI25" s="156">
        <f>IF(日程・対戦記録表!AH40="","",日程・対戦記録表!AH40)</f>
        <v>0</v>
      </c>
      <c r="AJ25" s="157" t="s">
        <v>99</v>
      </c>
      <c r="AK25" s="240">
        <f>IF(日程・対戦記録表!AI40="","",日程・対戦記録表!AI40)</f>
        <v>1</v>
      </c>
      <c r="AL25" s="428">
        <f>IF(AK25="","",SUM(AK25:AK26))</f>
        <v>4</v>
      </c>
      <c r="AM25" s="430" t="str">
        <f>VLOOKUP(AU25,$F$6:$Q$9,3,FALSE)</f>
        <v>玖珂中</v>
      </c>
      <c r="AN25" s="430" t="str">
        <f>IF($P$9=3,VLOOKUP(AM25,$G$6:$S$9,2,FALSE),"")</f>
        <v/>
      </c>
      <c r="AO25" s="430" t="str">
        <f>IF($P$9=3,VLOOKUP(AN25,$G$6:$S$9,2,FALSE),"")</f>
        <v/>
      </c>
      <c r="AP25" s="430" t="str">
        <f>IF($P$9=3,VLOOKUP(AO25,$G$6:$S$9,2,FALSE),"")</f>
        <v/>
      </c>
      <c r="AQ25" s="430" t="str">
        <f>IF($P$9=3,VLOOKUP(AP25,$G$6:$S$9,2,FALSE),"")</f>
        <v/>
      </c>
      <c r="AR25" s="432" t="str">
        <f>VLOOKUP(AU25,$F$6:$Q$9,12,FALSE)</f>
        <v>B7</v>
      </c>
      <c r="AS25" s="434">
        <f>IF($P$10=4,AU25,"")</f>
        <v>5</v>
      </c>
      <c r="AT25" s="150">
        <v>2</v>
      </c>
      <c r="AU25" s="150">
        <v>5</v>
      </c>
      <c r="AV25" s="141" t="str">
        <f>AT25&amp;AU25</f>
        <v>25</v>
      </c>
      <c r="AW25" s="155">
        <f>IF(AI25="","",AI25)</f>
        <v>0</v>
      </c>
      <c r="AX25" s="155">
        <f>IF(AI26="","",AI26)</f>
        <v>1</v>
      </c>
      <c r="AY25" s="140"/>
    </row>
    <row r="26" spans="1:51" ht="13.5" customHeight="1" x14ac:dyDescent="0.15">
      <c r="A26" s="154" t="str">
        <f>IF(A25="","",WEEKDAY(A25))</f>
        <v/>
      </c>
      <c r="B26" s="153">
        <f>IF(B25="","",WEEKDAY(B25))</f>
        <v>7</v>
      </c>
      <c r="C26" s="439"/>
      <c r="D26" s="440"/>
      <c r="E26" s="440"/>
      <c r="F26" s="440"/>
      <c r="G26" s="440"/>
      <c r="H26" s="440"/>
      <c r="I26" s="440"/>
      <c r="J26" s="440"/>
      <c r="K26" s="440"/>
      <c r="L26" s="440"/>
      <c r="M26" s="440"/>
      <c r="N26" s="442"/>
      <c r="O26" s="442"/>
      <c r="P26" s="442"/>
      <c r="Q26" s="444"/>
      <c r="R26" s="444"/>
      <c r="S26" s="444"/>
      <c r="T26" s="444"/>
      <c r="U26" s="446"/>
      <c r="V26" s="446"/>
      <c r="W26" s="448"/>
      <c r="X26" s="448"/>
      <c r="Y26" s="448"/>
      <c r="Z26" s="448"/>
      <c r="AA26" s="450"/>
      <c r="AB26" s="452"/>
      <c r="AC26" s="425"/>
      <c r="AD26" s="425"/>
      <c r="AE26" s="425"/>
      <c r="AF26" s="425"/>
      <c r="AG26" s="425"/>
      <c r="AH26" s="427"/>
      <c r="AI26" s="151">
        <f>IF(日程・対戦記録表!AH41="","",日程・対戦記録表!AH41)</f>
        <v>1</v>
      </c>
      <c r="AJ26" s="152" t="s">
        <v>99</v>
      </c>
      <c r="AK26" s="239">
        <f>IF(日程・対戦記録表!AI41="","",日程・対戦記録表!AI41)</f>
        <v>3</v>
      </c>
      <c r="AL26" s="429"/>
      <c r="AM26" s="431"/>
      <c r="AN26" s="431"/>
      <c r="AO26" s="431"/>
      <c r="AP26" s="431"/>
      <c r="AQ26" s="431"/>
      <c r="AR26" s="433"/>
      <c r="AS26" s="435"/>
      <c r="AT26" s="150"/>
      <c r="AU26" s="150"/>
      <c r="AV26" s="141" t="str">
        <f>AU25&amp;AT25</f>
        <v>52</v>
      </c>
      <c r="AW26" s="149">
        <f>IF(AK25="","",AK25)</f>
        <v>1</v>
      </c>
      <c r="AX26" s="149">
        <f>IF(AK26="","",AK26)</f>
        <v>3</v>
      </c>
      <c r="AY26" s="140"/>
    </row>
    <row r="27" spans="1:51" ht="34.5" customHeight="1" x14ac:dyDescent="0.2">
      <c r="A27" s="141"/>
      <c r="B27" s="455" t="s">
        <v>100</v>
      </c>
      <c r="C27" s="455"/>
      <c r="D27" s="455"/>
      <c r="E27" s="455"/>
      <c r="F27" s="455"/>
      <c r="G27" s="455"/>
      <c r="H27" s="455"/>
      <c r="I27" s="455"/>
      <c r="J27" s="455"/>
      <c r="K27" s="455"/>
      <c r="L27" s="455"/>
      <c r="M27" s="455"/>
      <c r="N27" s="455"/>
      <c r="O27" s="455"/>
      <c r="P27" s="455"/>
      <c r="Q27" s="455"/>
      <c r="R27" s="455"/>
      <c r="S27" s="455"/>
      <c r="T27" s="455"/>
      <c r="U27" s="455"/>
      <c r="V27" s="455"/>
      <c r="W27" s="455"/>
      <c r="X27" s="455"/>
      <c r="Y27" s="455"/>
      <c r="Z27" s="455"/>
      <c r="AA27" s="455"/>
      <c r="AB27" s="455"/>
      <c r="AC27" s="455"/>
      <c r="AD27" s="455"/>
      <c r="AE27" s="455"/>
      <c r="AF27" s="455"/>
      <c r="AG27" s="455"/>
      <c r="AH27" s="455"/>
      <c r="AI27" s="455"/>
      <c r="AJ27" s="455"/>
      <c r="AK27" s="455"/>
      <c r="AL27" s="455"/>
      <c r="AM27" s="455"/>
      <c r="AN27" s="455"/>
      <c r="AO27" s="455"/>
      <c r="AP27" s="455"/>
      <c r="AQ27" s="455"/>
      <c r="AR27" s="455"/>
      <c r="AS27" s="148"/>
      <c r="AT27" s="141"/>
      <c r="AU27" s="141"/>
      <c r="AV27" s="141"/>
      <c r="AW27" s="141"/>
      <c r="AX27" s="141"/>
      <c r="AY27" s="140"/>
    </row>
    <row r="28" spans="1:51" ht="12" customHeight="1" x14ac:dyDescent="0.2">
      <c r="A28" s="147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6"/>
      <c r="AK28" s="145"/>
      <c r="AL28" s="145"/>
      <c r="AM28" s="145"/>
      <c r="AN28" s="145"/>
      <c r="AO28" s="145"/>
      <c r="AP28" s="145"/>
      <c r="AQ28" s="145"/>
      <c r="AR28" s="145"/>
      <c r="AS28" s="144"/>
      <c r="AT28" s="141"/>
      <c r="AU28" s="141"/>
      <c r="AV28" s="141"/>
      <c r="AW28" s="141"/>
      <c r="AX28" s="141"/>
      <c r="AY28" s="140"/>
    </row>
    <row r="29" spans="1:51" ht="15" hidden="1" customHeight="1" x14ac:dyDescent="0.15">
      <c r="A29" s="141"/>
      <c r="B29" s="142"/>
      <c r="C29" s="456">
        <f>A31</f>
        <v>2</v>
      </c>
      <c r="D29" s="456"/>
      <c r="E29" s="456"/>
      <c r="F29" s="456"/>
      <c r="G29" s="456"/>
      <c r="H29" s="456">
        <f>A34</f>
        <v>6</v>
      </c>
      <c r="I29" s="456"/>
      <c r="J29" s="456"/>
      <c r="K29" s="456"/>
      <c r="L29" s="456"/>
      <c r="M29" s="457">
        <f>A37</f>
        <v>5</v>
      </c>
      <c r="N29" s="457"/>
      <c r="O29" s="457"/>
      <c r="P29" s="457"/>
      <c r="Q29" s="457"/>
      <c r="R29" s="457">
        <f>A40</f>
        <v>7</v>
      </c>
      <c r="S29" s="457"/>
      <c r="T29" s="457"/>
      <c r="U29" s="457"/>
      <c r="V29" s="457"/>
      <c r="W29" s="457" t="str">
        <f>A43</f>
        <v/>
      </c>
      <c r="X29" s="457"/>
      <c r="Y29" s="457"/>
      <c r="Z29" s="457"/>
      <c r="AA29" s="457"/>
      <c r="AB29" s="143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1"/>
      <c r="AT29" s="141"/>
      <c r="AU29" s="141"/>
      <c r="AV29" s="141"/>
      <c r="AW29" s="141"/>
      <c r="AX29" s="141"/>
      <c r="AY29" s="140"/>
    </row>
    <row r="30" spans="1:51" s="123" customFormat="1" ht="14.25" customHeight="1" x14ac:dyDescent="0.15">
      <c r="A30" s="139"/>
      <c r="B30" s="138" t="s">
        <v>57</v>
      </c>
      <c r="C30" s="475" t="str">
        <f>LEFT(B31,8)</f>
        <v>仁多中</v>
      </c>
      <c r="D30" s="475"/>
      <c r="E30" s="475"/>
      <c r="F30" s="475"/>
      <c r="G30" s="475"/>
      <c r="H30" s="475" t="str">
        <f>LEFT(B34,8)</f>
        <v>桜ヶ丘</v>
      </c>
      <c r="I30" s="475"/>
      <c r="J30" s="475"/>
      <c r="K30" s="475"/>
      <c r="L30" s="475"/>
      <c r="M30" s="475" t="str">
        <f>LEFT(B37,8)</f>
        <v>玖珂中</v>
      </c>
      <c r="N30" s="475"/>
      <c r="O30" s="475"/>
      <c r="P30" s="475"/>
      <c r="Q30" s="475"/>
      <c r="R30" s="475" t="str">
        <f>LEFT(B40,8)</f>
        <v>瀬戸中</v>
      </c>
      <c r="S30" s="475"/>
      <c r="T30" s="475"/>
      <c r="U30" s="475"/>
      <c r="V30" s="475"/>
      <c r="W30" s="476" t="str">
        <f>LEFT(B43,8)</f>
        <v/>
      </c>
      <c r="X30" s="477"/>
      <c r="Y30" s="477"/>
      <c r="Z30" s="477"/>
      <c r="AA30" s="477"/>
      <c r="AB30" s="478" t="s">
        <v>53</v>
      </c>
      <c r="AC30" s="479"/>
      <c r="AD30" s="473" t="s">
        <v>52</v>
      </c>
      <c r="AE30" s="474"/>
      <c r="AF30" s="473" t="s">
        <v>51</v>
      </c>
      <c r="AG30" s="474"/>
      <c r="AH30" s="473" t="s">
        <v>50</v>
      </c>
      <c r="AI30" s="474"/>
      <c r="AJ30" s="473" t="s">
        <v>49</v>
      </c>
      <c r="AK30" s="474"/>
      <c r="AL30" s="473" t="s">
        <v>48</v>
      </c>
      <c r="AM30" s="474"/>
      <c r="AN30" s="473" t="s">
        <v>47</v>
      </c>
      <c r="AO30" s="474"/>
      <c r="AP30" s="458" t="s">
        <v>46</v>
      </c>
      <c r="AQ30" s="458"/>
      <c r="AR30" s="458"/>
      <c r="AS30" s="137" t="s">
        <v>45</v>
      </c>
      <c r="AT30" s="125"/>
      <c r="AU30" s="125"/>
      <c r="AV30" s="125"/>
      <c r="AW30" s="134" t="s">
        <v>44</v>
      </c>
      <c r="AX30" s="124"/>
      <c r="AY30" s="124"/>
    </row>
    <row r="31" spans="1:51" s="123" customFormat="1" ht="13.5" customHeight="1" x14ac:dyDescent="0.15">
      <c r="A31" s="459">
        <f>IF($P$10=4,AT6,"")</f>
        <v>2</v>
      </c>
      <c r="B31" s="462" t="str">
        <f>IF(H6="","",LEFT(H6,10))</f>
        <v>仁多中</v>
      </c>
      <c r="C31" s="465"/>
      <c r="D31" s="132"/>
      <c r="E31" s="132"/>
      <c r="F31" s="132"/>
      <c r="G31" s="467"/>
      <c r="H31" s="497">
        <f>IF(AND(I31="",I32=""),"",SUM(I31:I32))</f>
        <v>10</v>
      </c>
      <c r="I31" s="131">
        <f>AI15</f>
        <v>3</v>
      </c>
      <c r="J31" s="131" t="s">
        <v>43</v>
      </c>
      <c r="K31" s="131">
        <f>AK15</f>
        <v>0</v>
      </c>
      <c r="L31" s="504">
        <f>IF(AND(K31="",K32=""),"",SUM(K31:K32))</f>
        <v>0</v>
      </c>
      <c r="M31" s="497">
        <f>IF(AND(N31="",N32=""),"",SUM(N31:N32))</f>
        <v>1</v>
      </c>
      <c r="N31" s="131">
        <f>AI25</f>
        <v>0</v>
      </c>
      <c r="O31" s="131" t="s">
        <v>43</v>
      </c>
      <c r="P31" s="131">
        <f>AK25</f>
        <v>1</v>
      </c>
      <c r="Q31" s="504">
        <f>IF(AND(P31="",P32=""),"",SUM(P31:P32))</f>
        <v>4</v>
      </c>
      <c r="R31" s="497">
        <f>IF(AND(S31="",S32=""),"",SUM(S31:S32))</f>
        <v>9</v>
      </c>
      <c r="S31" s="131">
        <f>AI21</f>
        <v>5</v>
      </c>
      <c r="T31" s="131" t="s">
        <v>43</v>
      </c>
      <c r="U31" s="131">
        <f>AK21</f>
        <v>0</v>
      </c>
      <c r="V31" s="504">
        <f>IF(AND(U31="",U32=""),"",SUM(U31:U32))</f>
        <v>0</v>
      </c>
      <c r="W31" s="497" t="str">
        <f>IF(AND(X31="",X32=""),"",SUM(X31:X32))</f>
        <v/>
      </c>
      <c r="X31" s="131" t="str">
        <f>IF(W$30="","",VLOOKUP($A$31&amp;W$29,$AV$15:$AX$26,2,FALSE))</f>
        <v/>
      </c>
      <c r="Y31" s="131"/>
      <c r="Z31" s="131" t="str">
        <f>IF(W$30="","",VLOOKUP(W$29&amp;$A$31,$AV$15:$AX$26,2,FALSE))</f>
        <v/>
      </c>
      <c r="AA31" s="499" t="str">
        <f>IF(AND(Z31="",Z32=""),"",SUM(Z31:Z32))</f>
        <v/>
      </c>
      <c r="AB31" s="501">
        <f>IF(AND($C33="",$H33="",$M33="",$R33="",$W33=""),"",SUM(3*AD31,1*AF31))</f>
        <v>6</v>
      </c>
      <c r="AC31" s="502"/>
      <c r="AD31" s="503">
        <f>IF(AND($C33="",$H33="",$M33="",$R33="",$W33=""),"",COUNTIF($C33:$AA33,"○"))</f>
        <v>2</v>
      </c>
      <c r="AE31" s="503"/>
      <c r="AF31" s="503">
        <f>IF(AND($C33="",$H33="",$M33="",$R33="",$W33=""),"",COUNTIF($C33:$AA33,"△"))</f>
        <v>0</v>
      </c>
      <c r="AG31" s="503"/>
      <c r="AH31" s="503">
        <f>IF(AND($C33="",$H33="",$M33="",$R33="",$W33=""),"",COUNTIF($C33:$AA33,"●"))</f>
        <v>0</v>
      </c>
      <c r="AI31" s="503"/>
      <c r="AJ31" s="480">
        <f>IF(AND(C31="",H31="",M31="",R31="",W31=""),"",SUM(C31,H31,M31,R31,W31))</f>
        <v>20</v>
      </c>
      <c r="AK31" s="481"/>
      <c r="AL31" s="485">
        <f>IF(AND(G31="",L31="",Q31="",V31="",AA31=""),"",SUM(G31,L31,Q31,V31,AA31))</f>
        <v>4</v>
      </c>
      <c r="AM31" s="481"/>
      <c r="AN31" s="485">
        <f>IF(OR(AJ31="",AL31=""),"",AJ31-AL31)</f>
        <v>16</v>
      </c>
      <c r="AO31" s="481"/>
      <c r="AP31" s="488">
        <f>IF(OR($AI$26="",$AK$26=""),"",RANK(AS31,$AS$31:$AS$42))</f>
        <v>2</v>
      </c>
      <c r="AQ31" s="488"/>
      <c r="AR31" s="488"/>
      <c r="AS31" s="130">
        <f>SUM($AB31*10000,$AD31*1000,$AN31*100,$AJ31)</f>
        <v>63620</v>
      </c>
      <c r="AT31" s="125" t="str">
        <f>B31</f>
        <v>仁多中</v>
      </c>
      <c r="AU31" s="125"/>
      <c r="AV31" s="125"/>
      <c r="AW31" s="134">
        <v>1</v>
      </c>
      <c r="AX31" s="133" t="str">
        <f>IF($AP$31="","",VLOOKUP(AW31,$AP$31:$AU$42,5,FALSE))</f>
        <v>玖珂中</v>
      </c>
      <c r="AY31" s="133" t="str">
        <f>VLOOKUP(AX31,$H$6:$Q$9,10,FALSE)</f>
        <v>B7</v>
      </c>
    </row>
    <row r="32" spans="1:51" s="123" customFormat="1" ht="13.5" customHeight="1" x14ac:dyDescent="0.15">
      <c r="A32" s="460"/>
      <c r="B32" s="463"/>
      <c r="C32" s="466"/>
      <c r="D32" s="129"/>
      <c r="E32" s="129"/>
      <c r="F32" s="129"/>
      <c r="G32" s="468"/>
      <c r="H32" s="498"/>
      <c r="I32" s="128">
        <f>AI16</f>
        <v>7</v>
      </c>
      <c r="J32" s="128" t="s">
        <v>43</v>
      </c>
      <c r="K32" s="128">
        <f>AK16</f>
        <v>0</v>
      </c>
      <c r="L32" s="505"/>
      <c r="M32" s="498"/>
      <c r="N32" s="128">
        <f>AI26</f>
        <v>1</v>
      </c>
      <c r="O32" s="128" t="s">
        <v>43</v>
      </c>
      <c r="P32" s="128">
        <f>AK26</f>
        <v>3</v>
      </c>
      <c r="Q32" s="505"/>
      <c r="R32" s="498"/>
      <c r="S32" s="128">
        <f>AI22</f>
        <v>4</v>
      </c>
      <c r="T32" s="128" t="s">
        <v>43</v>
      </c>
      <c r="U32" s="128">
        <f>AK22</f>
        <v>0</v>
      </c>
      <c r="V32" s="505"/>
      <c r="W32" s="498"/>
      <c r="X32" s="128" t="str">
        <f>IF(W$30="","",VLOOKUP($A$31&amp;W$29,$AV$15:$AX$26,3,FALSE))</f>
        <v/>
      </c>
      <c r="Y32" s="128"/>
      <c r="Z32" s="128" t="str">
        <f>IF(W$30="","",VLOOKUP(W$29&amp;$A$31,$AV$15:$AX$26,3,FALSE))</f>
        <v/>
      </c>
      <c r="AA32" s="500"/>
      <c r="AB32" s="501"/>
      <c r="AC32" s="502"/>
      <c r="AD32" s="503"/>
      <c r="AE32" s="503"/>
      <c r="AF32" s="503"/>
      <c r="AG32" s="503"/>
      <c r="AH32" s="503"/>
      <c r="AI32" s="503"/>
      <c r="AJ32" s="482"/>
      <c r="AK32" s="483"/>
      <c r="AL32" s="486"/>
      <c r="AM32" s="483"/>
      <c r="AN32" s="486"/>
      <c r="AO32" s="483"/>
      <c r="AP32" s="488"/>
      <c r="AQ32" s="488"/>
      <c r="AR32" s="488"/>
      <c r="AS32" s="127"/>
      <c r="AT32" s="125"/>
      <c r="AU32" s="125"/>
      <c r="AV32" s="125"/>
      <c r="AW32" s="134">
        <v>2</v>
      </c>
      <c r="AX32" s="133" t="str">
        <f>IF($AP$31="","",VLOOKUP(AW32,$AP$31:$AU$42,5,FALSE))</f>
        <v>仁多中</v>
      </c>
      <c r="AY32" s="133" t="str">
        <f>VLOOKUP(AX32,$H$6:$Q$9,10,FALSE)</f>
        <v>B3</v>
      </c>
    </row>
    <row r="33" spans="1:51" s="123" customFormat="1" ht="18" customHeight="1" x14ac:dyDescent="0.15">
      <c r="A33" s="461"/>
      <c r="B33" s="464"/>
      <c r="C33" s="489"/>
      <c r="D33" s="490"/>
      <c r="E33" s="490"/>
      <c r="F33" s="490"/>
      <c r="G33" s="491"/>
      <c r="H33" s="495" t="str">
        <f>IF(OR(H31="",L31=""),"",IF(H31&gt;L31,"○",IF(H31=L31,"△",IF(H31&lt;L31,"☓",""))))</f>
        <v>○</v>
      </c>
      <c r="I33" s="496"/>
      <c r="J33" s="496"/>
      <c r="K33" s="496"/>
      <c r="L33" s="506"/>
      <c r="M33" s="495" t="str">
        <f>IF(OR(M31="",Q31=""),"",IF(M31&gt;Q31,"○",IF(M31=Q31,"△",IF(M31&lt;Q31,"☓",""))))</f>
        <v>☓</v>
      </c>
      <c r="N33" s="496"/>
      <c r="O33" s="496"/>
      <c r="P33" s="496"/>
      <c r="Q33" s="506"/>
      <c r="R33" s="495" t="str">
        <f>IF(OR(R31="",V31=""),"",IF(R31&gt;V31,"○",IF(R31=V31,"△",IF(R31&lt;V31,"☓",""))))</f>
        <v>○</v>
      </c>
      <c r="S33" s="496"/>
      <c r="T33" s="496"/>
      <c r="U33" s="496"/>
      <c r="V33" s="506"/>
      <c r="W33" s="495" t="str">
        <f>IF(OR(W31="",AA31=""),"",IF(W31&gt;AA31,"○",IF(W31=AA31,"△",IF(W31&lt;AA31,"●",""))))</f>
        <v/>
      </c>
      <c r="X33" s="496"/>
      <c r="Y33" s="496"/>
      <c r="Z33" s="496"/>
      <c r="AA33" s="496"/>
      <c r="AB33" s="501"/>
      <c r="AC33" s="502"/>
      <c r="AD33" s="503"/>
      <c r="AE33" s="503"/>
      <c r="AF33" s="503"/>
      <c r="AG33" s="503"/>
      <c r="AH33" s="503"/>
      <c r="AI33" s="503"/>
      <c r="AJ33" s="409"/>
      <c r="AK33" s="484"/>
      <c r="AL33" s="487"/>
      <c r="AM33" s="484"/>
      <c r="AN33" s="487"/>
      <c r="AO33" s="484"/>
      <c r="AP33" s="488"/>
      <c r="AQ33" s="488"/>
      <c r="AR33" s="488"/>
      <c r="AS33" s="126"/>
      <c r="AT33" s="125">
        <f>B33</f>
        <v>0</v>
      </c>
      <c r="AU33" s="125"/>
      <c r="AV33" s="125"/>
      <c r="AW33" s="134">
        <v>3</v>
      </c>
      <c r="AX33" s="133" t="str">
        <f>IF($AP$31="","",VLOOKUP(AW33,$AP$31:$AU$42,5,FALSE))</f>
        <v>瀬戸中</v>
      </c>
      <c r="AY33" s="133" t="str">
        <f>VLOOKUP(AX33,$H$6:$Q$9,10,FALSE)</f>
        <v>B6</v>
      </c>
    </row>
    <row r="34" spans="1:51" s="123" customFormat="1" ht="13.5" customHeight="1" x14ac:dyDescent="0.15">
      <c r="A34" s="459">
        <f>IF($P$10&gt;1,AT7,"")</f>
        <v>6</v>
      </c>
      <c r="B34" s="462" t="str">
        <f>IF(H7="","",LEFT(H7,10))</f>
        <v>桜ヶ丘</v>
      </c>
      <c r="C34" s="497">
        <f>IF(AND(D34="",D35=""),"",SUM(D34:D35))</f>
        <v>0</v>
      </c>
      <c r="D34" s="131">
        <f>AK15</f>
        <v>0</v>
      </c>
      <c r="E34" s="131" t="s">
        <v>43</v>
      </c>
      <c r="F34" s="131">
        <f>AI15</f>
        <v>3</v>
      </c>
      <c r="G34" s="504">
        <f>IF(AND(F34="",F35=""),"",SUM(F34:F35))</f>
        <v>10</v>
      </c>
      <c r="H34" s="465"/>
      <c r="I34" s="132"/>
      <c r="J34" s="132"/>
      <c r="K34" s="132"/>
      <c r="L34" s="467"/>
      <c r="M34" s="497">
        <f>IF(AND(N34="",N35=""),"",SUM(N34:N35))</f>
        <v>1</v>
      </c>
      <c r="N34" s="131">
        <f>AI19</f>
        <v>1</v>
      </c>
      <c r="O34" s="131" t="s">
        <v>43</v>
      </c>
      <c r="P34" s="131">
        <f>AK19</f>
        <v>5</v>
      </c>
      <c r="Q34" s="504">
        <f>IF(AND(P34="",P35=""),"",SUM(P34:P35))</f>
        <v>10</v>
      </c>
      <c r="R34" s="497">
        <f>IF(AND(S34="",S35=""),"",SUM(S34:S35))</f>
        <v>3</v>
      </c>
      <c r="S34" s="131">
        <f>AI23</f>
        <v>2</v>
      </c>
      <c r="T34" s="131" t="s">
        <v>43</v>
      </c>
      <c r="U34" s="131">
        <f>AK23</f>
        <v>1</v>
      </c>
      <c r="V34" s="504">
        <f>IF(AND(U34="",U35=""),"",SUM(U34:U35))</f>
        <v>4</v>
      </c>
      <c r="W34" s="497" t="str">
        <f>IF(AND(X34="",X35=""),"",SUM(X34:X35))</f>
        <v/>
      </c>
      <c r="X34" s="131" t="str">
        <f>IF(W$30="","",VLOOKUP($A$34&amp;W$29,$AV$15:$AX$26,2,FALSE))</f>
        <v/>
      </c>
      <c r="Y34" s="131"/>
      <c r="Z34" s="131" t="str">
        <f>IF(W$30="","",VLOOKUP(W$29&amp;$A$34,$AV$15:$AX$26,2,FALSE))</f>
        <v/>
      </c>
      <c r="AA34" s="499" t="str">
        <f>IF(AND(Z34="",Z35=""),"",SUM(Z34:Z35))</f>
        <v/>
      </c>
      <c r="AB34" s="501">
        <f>IF(AND($C36="",$H36="",$M36="",$R36="",$W36=""),"",SUM(3*AD34,1*AF34))</f>
        <v>0</v>
      </c>
      <c r="AC34" s="502"/>
      <c r="AD34" s="503">
        <f>IF(AND($C36="",$H36="",$M36="",$R36="",$W36=""),"",COUNTIF($C36:$AA36,"○"))</f>
        <v>0</v>
      </c>
      <c r="AE34" s="503"/>
      <c r="AF34" s="503">
        <f>IF(AND($C36="",$H36="",$M36="",$R36="",$W36=""),"",COUNTIF($C36:$AA36,"△"))</f>
        <v>0</v>
      </c>
      <c r="AG34" s="503"/>
      <c r="AH34" s="503">
        <f>IF(AND($C36="",$H36="",$M36="",$R36="",$W36=""),"",COUNTIF($C36:$AA36,"●"))</f>
        <v>0</v>
      </c>
      <c r="AI34" s="503"/>
      <c r="AJ34" s="480">
        <f>IF(AND(C34="",H34="",M34="",R34="",W34=""),"",SUM(C34,H34,M34,R34,W34))</f>
        <v>4</v>
      </c>
      <c r="AK34" s="481"/>
      <c r="AL34" s="485">
        <f>IF(AND(G34="",L34="",Q34="",V34="",AA34=""),"",SUM(G34,L34,Q34,V34,AA34))</f>
        <v>24</v>
      </c>
      <c r="AM34" s="481"/>
      <c r="AN34" s="485">
        <f>IF(OR(AJ34="",AL34=""),"",AJ34-AL34)</f>
        <v>-20</v>
      </c>
      <c r="AO34" s="481"/>
      <c r="AP34" s="488">
        <f>IF(OR($AI$26="",$AK$26=""),"",RANK(AS34,$AS$31:$AS$42))</f>
        <v>4</v>
      </c>
      <c r="AQ34" s="488"/>
      <c r="AR34" s="488"/>
      <c r="AS34" s="130">
        <f>SUM($AB34*10000,$AD34*1000,$AN34*100,$AJ34)</f>
        <v>-1996</v>
      </c>
      <c r="AT34" s="125" t="str">
        <f>B34</f>
        <v>桜ヶ丘</v>
      </c>
      <c r="AU34" s="125"/>
      <c r="AV34" s="125"/>
      <c r="AW34" s="134">
        <v>4</v>
      </c>
      <c r="AX34" s="133" t="str">
        <f>IF($AP$31="","",VLOOKUP(AW34,$AP$31:$AU$42,5,FALSE))</f>
        <v>桜ヶ丘</v>
      </c>
      <c r="AY34" s="133" t="str">
        <f>VLOOKUP(AX34,$H$6:$Q$9,10,FALSE)</f>
        <v>B2</v>
      </c>
    </row>
    <row r="35" spans="1:51" s="123" customFormat="1" ht="13.5" customHeight="1" x14ac:dyDescent="0.15">
      <c r="A35" s="460"/>
      <c r="B35" s="463"/>
      <c r="C35" s="498"/>
      <c r="D35" s="128">
        <f>AK16</f>
        <v>0</v>
      </c>
      <c r="E35" s="128" t="s">
        <v>43</v>
      </c>
      <c r="F35" s="128">
        <f>AI16</f>
        <v>7</v>
      </c>
      <c r="G35" s="505"/>
      <c r="H35" s="466"/>
      <c r="I35" s="129"/>
      <c r="J35" s="129"/>
      <c r="K35" s="129"/>
      <c r="L35" s="468"/>
      <c r="M35" s="498"/>
      <c r="N35" s="128">
        <f>AI20</f>
        <v>0</v>
      </c>
      <c r="O35" s="128" t="s">
        <v>43</v>
      </c>
      <c r="P35" s="128">
        <f>AK20</f>
        <v>5</v>
      </c>
      <c r="Q35" s="505"/>
      <c r="R35" s="498"/>
      <c r="S35" s="128">
        <f>AI24</f>
        <v>1</v>
      </c>
      <c r="T35" s="128" t="s">
        <v>43</v>
      </c>
      <c r="U35" s="128">
        <f>AK24</f>
        <v>3</v>
      </c>
      <c r="V35" s="505"/>
      <c r="W35" s="498"/>
      <c r="X35" s="128" t="str">
        <f>IF(W$30="","",VLOOKUP($A$34&amp;W$29,$AV$15:$AX$26,3,FALSE))</f>
        <v/>
      </c>
      <c r="Y35" s="128"/>
      <c r="Z35" s="128" t="str">
        <f>IF(W$30="","",VLOOKUP(W$29&amp;$A$34,$AV$15:$AX$26,3,FALSE))</f>
        <v/>
      </c>
      <c r="AA35" s="500"/>
      <c r="AB35" s="501"/>
      <c r="AC35" s="502"/>
      <c r="AD35" s="503"/>
      <c r="AE35" s="503"/>
      <c r="AF35" s="503"/>
      <c r="AG35" s="503"/>
      <c r="AH35" s="503"/>
      <c r="AI35" s="503"/>
      <c r="AJ35" s="482"/>
      <c r="AK35" s="483"/>
      <c r="AL35" s="486"/>
      <c r="AM35" s="483"/>
      <c r="AN35" s="486"/>
      <c r="AO35" s="483"/>
      <c r="AP35" s="488"/>
      <c r="AQ35" s="488"/>
      <c r="AR35" s="488"/>
      <c r="AS35" s="127"/>
      <c r="AT35" s="125"/>
      <c r="AU35" s="125"/>
      <c r="AV35" s="125"/>
      <c r="AW35" s="125"/>
      <c r="AX35" s="124"/>
      <c r="AY35" s="124"/>
    </row>
    <row r="36" spans="1:51" s="123" customFormat="1" ht="18" customHeight="1" x14ac:dyDescent="0.15">
      <c r="A36" s="461"/>
      <c r="B36" s="464"/>
      <c r="C36" s="495" t="str">
        <f>IF(OR(C34="",G34=""),"",IF(C34&gt;G34,"○",IF(C34=G34,"△",IF(C34&lt;G34,"☓",""))))</f>
        <v>☓</v>
      </c>
      <c r="D36" s="496"/>
      <c r="E36" s="496"/>
      <c r="F36" s="496"/>
      <c r="G36" s="506"/>
      <c r="H36" s="489"/>
      <c r="I36" s="490"/>
      <c r="J36" s="490"/>
      <c r="K36" s="490"/>
      <c r="L36" s="491"/>
      <c r="M36" s="495" t="str">
        <f>IF(OR(M34="",Q34=""),"",IF(M34&gt;Q34,"○",IF(M34=Q34,"△",IF(M34&lt;Q34,"☓",""))))</f>
        <v>☓</v>
      </c>
      <c r="N36" s="496"/>
      <c r="O36" s="496"/>
      <c r="P36" s="496"/>
      <c r="Q36" s="506"/>
      <c r="R36" s="495" t="str">
        <f>IF(OR(R34="",V34=""),"",IF(R34&gt;V34,"○",IF(R34=V34,"△",IF(R34&lt;V34,"☓",""))))</f>
        <v>☓</v>
      </c>
      <c r="S36" s="496"/>
      <c r="T36" s="496"/>
      <c r="U36" s="496"/>
      <c r="V36" s="506"/>
      <c r="W36" s="495" t="str">
        <f>IF(OR(W34="",AA34=""),"",IF(W34&gt;AA34,"○",IF(W34=AA34,"△",IF(W34&lt;AA34,"●",""))))</f>
        <v/>
      </c>
      <c r="X36" s="496"/>
      <c r="Y36" s="496"/>
      <c r="Z36" s="496"/>
      <c r="AA36" s="496"/>
      <c r="AB36" s="501"/>
      <c r="AC36" s="502"/>
      <c r="AD36" s="503"/>
      <c r="AE36" s="503"/>
      <c r="AF36" s="503"/>
      <c r="AG36" s="503"/>
      <c r="AH36" s="503"/>
      <c r="AI36" s="503"/>
      <c r="AJ36" s="409"/>
      <c r="AK36" s="484"/>
      <c r="AL36" s="487"/>
      <c r="AM36" s="484"/>
      <c r="AN36" s="487"/>
      <c r="AO36" s="484"/>
      <c r="AP36" s="488"/>
      <c r="AQ36" s="488"/>
      <c r="AR36" s="488"/>
      <c r="AS36" s="126"/>
      <c r="AT36" s="125">
        <f>B36</f>
        <v>0</v>
      </c>
      <c r="AU36" s="125"/>
      <c r="AV36" s="125"/>
      <c r="AW36" s="125"/>
      <c r="AX36" s="124"/>
      <c r="AY36" s="124"/>
    </row>
    <row r="37" spans="1:51" s="123" customFormat="1" ht="13.5" customHeight="1" x14ac:dyDescent="0.15">
      <c r="A37" s="459">
        <f>IF($P$10&gt;2,AT8,"")</f>
        <v>5</v>
      </c>
      <c r="B37" s="462" t="str">
        <f>IF(H8="","",LEFT(H8,10))</f>
        <v>玖珂中</v>
      </c>
      <c r="C37" s="497">
        <f>IF(AND(D37="",D38=""),"",SUM(D37:D38))</f>
        <v>4</v>
      </c>
      <c r="D37" s="131">
        <f>AK25</f>
        <v>1</v>
      </c>
      <c r="E37" s="131" t="s">
        <v>43</v>
      </c>
      <c r="F37" s="131">
        <f>AI25</f>
        <v>0</v>
      </c>
      <c r="G37" s="504">
        <f>IF(AND(F37="",F38=""),"",SUM(F37:F38))</f>
        <v>1</v>
      </c>
      <c r="H37" s="497">
        <f>IF(AND(I37="",I38=""),"",SUM(I37:I38))</f>
        <v>10</v>
      </c>
      <c r="I37" s="131">
        <f>AK19</f>
        <v>5</v>
      </c>
      <c r="J37" s="131" t="s">
        <v>43</v>
      </c>
      <c r="K37" s="131">
        <f>AI19</f>
        <v>1</v>
      </c>
      <c r="L37" s="504">
        <f>IF(AND(K37="",K38=""),"",SUM(K37:K38))</f>
        <v>1</v>
      </c>
      <c r="M37" s="465"/>
      <c r="N37" s="132"/>
      <c r="O37" s="132"/>
      <c r="P37" s="132"/>
      <c r="Q37" s="467"/>
      <c r="R37" s="497">
        <f>IF(AND(S37="",S38=""),"",SUM(S37:S38))</f>
        <v>10</v>
      </c>
      <c r="S37" s="131">
        <f>AI17</f>
        <v>3</v>
      </c>
      <c r="T37" s="131" t="s">
        <v>43</v>
      </c>
      <c r="U37" s="131">
        <f>AK17</f>
        <v>0</v>
      </c>
      <c r="V37" s="504">
        <f>IF(AND(U37="",U38=""),"",SUM(U37:U38))</f>
        <v>0</v>
      </c>
      <c r="W37" s="497" t="str">
        <f>IF(AND(X37="",X38=""),"",SUM(X37:X38))</f>
        <v/>
      </c>
      <c r="X37" s="131" t="str">
        <f>IF(W$30="","",VLOOKUP($A$37&amp;W$29,$AV$15:$AX$26,2,FALSE))</f>
        <v/>
      </c>
      <c r="Y37" s="131"/>
      <c r="Z37" s="131" t="str">
        <f>IF(W$30="","",VLOOKUP(W$29&amp;$A$37,$AV$15:$AX$26,2,FALSE))</f>
        <v/>
      </c>
      <c r="AA37" s="499" t="str">
        <f>IF(AND(Z37="",Z38=""),"",SUM(Z37:Z38))</f>
        <v/>
      </c>
      <c r="AB37" s="501">
        <f>IF(AND($C39="",$H39="",$M39="",$R39="",$W39=""),"",SUM(3*AD37,1*AF37))</f>
        <v>9</v>
      </c>
      <c r="AC37" s="502"/>
      <c r="AD37" s="503">
        <f>IF(AND($C39="",$H39="",$M39="",$R39="",$W39=""),"",COUNTIF($C39:$AA39,"○"))</f>
        <v>3</v>
      </c>
      <c r="AE37" s="503"/>
      <c r="AF37" s="503">
        <f>IF(AND($C39="",$H39="",$M39="",$R39="",$W39=""),"",COUNTIF($C39:$AA39,"△"))</f>
        <v>0</v>
      </c>
      <c r="AG37" s="503"/>
      <c r="AH37" s="503">
        <f>IF(AND($C39="",$H39="",$M39="",$R39="",$W39=""),"",COUNTIF($C39:$AA39,"●"))</f>
        <v>0</v>
      </c>
      <c r="AI37" s="503"/>
      <c r="AJ37" s="480">
        <f>IF(AND(C37="",H37="",M37="",R37="",W37=""),"",SUM(C37,H37,M37,R37,W37))</f>
        <v>24</v>
      </c>
      <c r="AK37" s="481"/>
      <c r="AL37" s="485">
        <f>IF(AND(G37="",L37="",Q37="",V37="",AA37=""),"",SUM(G37,L37,Q37,V37,AA37))</f>
        <v>2</v>
      </c>
      <c r="AM37" s="481"/>
      <c r="AN37" s="485">
        <f>IF(OR(AJ37="",AL37=""),"",AJ37-AL37)</f>
        <v>22</v>
      </c>
      <c r="AO37" s="481"/>
      <c r="AP37" s="488">
        <f>IF(OR($AI$18="",$AK$18=""),"",RANK(AS37,$AS$31:$AS$42))</f>
        <v>1</v>
      </c>
      <c r="AQ37" s="488"/>
      <c r="AR37" s="488"/>
      <c r="AS37" s="130">
        <f>SUM($AB37*10000,$AD37*1000,$AN37*100,$AJ37)</f>
        <v>95224</v>
      </c>
      <c r="AT37" s="125" t="str">
        <f>B37</f>
        <v>玖珂中</v>
      </c>
      <c r="AU37" s="125"/>
      <c r="AV37" s="125"/>
      <c r="AW37" s="125"/>
      <c r="AX37" s="124"/>
      <c r="AY37" s="124"/>
    </row>
    <row r="38" spans="1:51" s="123" customFormat="1" ht="13.5" customHeight="1" x14ac:dyDescent="0.15">
      <c r="A38" s="460"/>
      <c r="B38" s="463"/>
      <c r="C38" s="498"/>
      <c r="D38" s="128">
        <f>AK26</f>
        <v>3</v>
      </c>
      <c r="E38" s="128" t="s">
        <v>43</v>
      </c>
      <c r="F38" s="128">
        <f>AI26</f>
        <v>1</v>
      </c>
      <c r="G38" s="505"/>
      <c r="H38" s="498"/>
      <c r="I38" s="128">
        <f>AK20</f>
        <v>5</v>
      </c>
      <c r="J38" s="128" t="s">
        <v>43</v>
      </c>
      <c r="K38" s="128">
        <f>AI20</f>
        <v>0</v>
      </c>
      <c r="L38" s="505"/>
      <c r="M38" s="466"/>
      <c r="N38" s="129"/>
      <c r="O38" s="129"/>
      <c r="P38" s="129"/>
      <c r="Q38" s="468"/>
      <c r="R38" s="498"/>
      <c r="S38" s="128">
        <f>AI18</f>
        <v>7</v>
      </c>
      <c r="T38" s="128" t="s">
        <v>43</v>
      </c>
      <c r="U38" s="128">
        <f>AK18</f>
        <v>0</v>
      </c>
      <c r="V38" s="505"/>
      <c r="W38" s="498"/>
      <c r="X38" s="128" t="str">
        <f>IF(W$30="","",VLOOKUP($A$37&amp;W$29,$AV$15:$AX$26,3,FALSE))</f>
        <v/>
      </c>
      <c r="Y38" s="128"/>
      <c r="Z38" s="128" t="str">
        <f>IF(W$30="","",VLOOKUP(W$29&amp;$A$37,$AV$15:$AX$26,3,FALSE))</f>
        <v/>
      </c>
      <c r="AA38" s="500"/>
      <c r="AB38" s="501"/>
      <c r="AC38" s="502"/>
      <c r="AD38" s="503"/>
      <c r="AE38" s="503"/>
      <c r="AF38" s="503"/>
      <c r="AG38" s="503"/>
      <c r="AH38" s="503"/>
      <c r="AI38" s="503"/>
      <c r="AJ38" s="482"/>
      <c r="AK38" s="483"/>
      <c r="AL38" s="486"/>
      <c r="AM38" s="483"/>
      <c r="AN38" s="486"/>
      <c r="AO38" s="483"/>
      <c r="AP38" s="488"/>
      <c r="AQ38" s="488"/>
      <c r="AR38" s="488"/>
      <c r="AS38" s="127"/>
      <c r="AT38" s="125"/>
      <c r="AU38" s="125"/>
      <c r="AV38" s="125"/>
      <c r="AW38" s="125"/>
      <c r="AX38" s="124"/>
      <c r="AY38" s="124"/>
    </row>
    <row r="39" spans="1:51" s="123" customFormat="1" ht="18" customHeight="1" x14ac:dyDescent="0.15">
      <c r="A39" s="461"/>
      <c r="B39" s="464"/>
      <c r="C39" s="495" t="str">
        <f>IF(OR(C37="",G37=""),"",IF(C37&gt;G37,"○",IF(C37=G37,"△",IF(C37&lt;G37,"☓",""))))</f>
        <v>○</v>
      </c>
      <c r="D39" s="496"/>
      <c r="E39" s="496"/>
      <c r="F39" s="496"/>
      <c r="G39" s="506"/>
      <c r="H39" s="495" t="str">
        <f>IF(OR(H37="",L37=""),"",IF(H37&gt;L37,"○",IF(H37=L37,"△",IF(H37&lt;L37,"☓",""))))</f>
        <v>○</v>
      </c>
      <c r="I39" s="496"/>
      <c r="J39" s="496"/>
      <c r="K39" s="496"/>
      <c r="L39" s="506"/>
      <c r="M39" s="489"/>
      <c r="N39" s="490"/>
      <c r="O39" s="490"/>
      <c r="P39" s="490"/>
      <c r="Q39" s="491"/>
      <c r="R39" s="495" t="str">
        <f>IF(OR(R37="",V37=""),"",IF(R37&gt;V37,"○",IF(R37=V37,"△",IF(R37&lt;V37,"☓",""))))</f>
        <v>○</v>
      </c>
      <c r="S39" s="496"/>
      <c r="T39" s="496"/>
      <c r="U39" s="496"/>
      <c r="V39" s="506"/>
      <c r="W39" s="495" t="str">
        <f>IF(OR(W37="",AA37=""),"",IF(W37&gt;AA37,"○",IF(W37=AA37,"△",IF(W37&lt;AA37,"●",""))))</f>
        <v/>
      </c>
      <c r="X39" s="496"/>
      <c r="Y39" s="496"/>
      <c r="Z39" s="496"/>
      <c r="AA39" s="496"/>
      <c r="AB39" s="501"/>
      <c r="AC39" s="502"/>
      <c r="AD39" s="503"/>
      <c r="AE39" s="503"/>
      <c r="AF39" s="503"/>
      <c r="AG39" s="503"/>
      <c r="AH39" s="503"/>
      <c r="AI39" s="503"/>
      <c r="AJ39" s="409"/>
      <c r="AK39" s="484"/>
      <c r="AL39" s="487"/>
      <c r="AM39" s="484"/>
      <c r="AN39" s="487"/>
      <c r="AO39" s="484"/>
      <c r="AP39" s="488"/>
      <c r="AQ39" s="488"/>
      <c r="AR39" s="488"/>
      <c r="AS39" s="126"/>
      <c r="AT39" s="125">
        <f>B39</f>
        <v>0</v>
      </c>
      <c r="AU39" s="125"/>
      <c r="AV39" s="125"/>
      <c r="AW39" s="125"/>
      <c r="AX39" s="124"/>
      <c r="AY39" s="124"/>
    </row>
    <row r="40" spans="1:51" s="123" customFormat="1" ht="13.5" customHeight="1" x14ac:dyDescent="0.15">
      <c r="A40" s="459">
        <f>IF($P$10&gt;3,AT9,"")</f>
        <v>7</v>
      </c>
      <c r="B40" s="462" t="str">
        <f>IF(H9="","",LEFT(H9,10))</f>
        <v>瀬戸中</v>
      </c>
      <c r="C40" s="497">
        <f>IF(AND(D40="",D41=""),"",SUM(D40:D41))</f>
        <v>0</v>
      </c>
      <c r="D40" s="131">
        <f>AK21</f>
        <v>0</v>
      </c>
      <c r="E40" s="131" t="s">
        <v>43</v>
      </c>
      <c r="F40" s="131">
        <f>AI21</f>
        <v>5</v>
      </c>
      <c r="G40" s="504">
        <f>IF(AND(F40="",F41=""),"",SUM(F40:F41))</f>
        <v>9</v>
      </c>
      <c r="H40" s="497">
        <f>IF(AND(I40="",I41=""),"",SUM(I40:I41))</f>
        <v>4</v>
      </c>
      <c r="I40" s="131">
        <f>AK23</f>
        <v>1</v>
      </c>
      <c r="J40" s="131" t="s">
        <v>43</v>
      </c>
      <c r="K40" s="131">
        <f>AI23</f>
        <v>2</v>
      </c>
      <c r="L40" s="504">
        <f>IF(AND(K40="",K41=""),"",SUM(K40:K41))</f>
        <v>3</v>
      </c>
      <c r="M40" s="497">
        <f>IF(AND(N40="",N41=""),"",SUM(N40:N41))</f>
        <v>0</v>
      </c>
      <c r="N40" s="131">
        <f>AK17</f>
        <v>0</v>
      </c>
      <c r="O40" s="131" t="s">
        <v>43</v>
      </c>
      <c r="P40" s="131">
        <f>AI17</f>
        <v>3</v>
      </c>
      <c r="Q40" s="504">
        <f>IF(AND(P40="",P41=""),"",SUM(P40:P41))</f>
        <v>10</v>
      </c>
      <c r="R40" s="465"/>
      <c r="S40" s="132"/>
      <c r="T40" s="132"/>
      <c r="U40" s="132"/>
      <c r="V40" s="467"/>
      <c r="W40" s="497" t="str">
        <f>IF(AND(X40="",X41=""),"",SUM(X40:X41))</f>
        <v/>
      </c>
      <c r="X40" s="131" t="str">
        <f>IF(W$30="","",VLOOKUP($A$40&amp;W$29,$AV$15:$AX$26,2,FALSE))</f>
        <v/>
      </c>
      <c r="Y40" s="131"/>
      <c r="Z40" s="131" t="str">
        <f>IF(W$30="","",VLOOKUP(W$29&amp;$A40,$AV$15:$AX$26,2,FALSE))</f>
        <v/>
      </c>
      <c r="AA40" s="499" t="str">
        <f>IF(AND(Z40="",Z41=""),"",SUM(Z40:Z41))</f>
        <v/>
      </c>
      <c r="AB40" s="501">
        <f>IF(AND($C42="",$H42="",$M42="",$R42="",$W42=""),"",SUM(3*AD40,1*AF40))</f>
        <v>3</v>
      </c>
      <c r="AC40" s="502"/>
      <c r="AD40" s="503">
        <f>IF(AND($C42="",$H42="",$M42="",$R42="",$W42=""),"",COUNTIF($C42:$AA42,"○"))</f>
        <v>1</v>
      </c>
      <c r="AE40" s="503"/>
      <c r="AF40" s="503">
        <f>IF(AND($C42="",$H42="",$M42="",$R42="",$W42=""),"",COUNTIF($C42:$AA42,"△"))</f>
        <v>0</v>
      </c>
      <c r="AG40" s="503"/>
      <c r="AH40" s="503">
        <f>IF(AND($C42="",$H42="",$M42="",$R42="",$W42=""),"",COUNTIF($C42:$AA42,"●"))</f>
        <v>0</v>
      </c>
      <c r="AI40" s="503"/>
      <c r="AJ40" s="480">
        <f>IF(AND(C40="",H40="",M40="",R40="",W40=""),"",SUM(C40,H40,M40,R40,W40))</f>
        <v>4</v>
      </c>
      <c r="AK40" s="481"/>
      <c r="AL40" s="485">
        <f>IF(AND(G40="",L40="",Q40="",V40="",AA40=""),"",SUM(G40,L40,Q40,V40,AA40))</f>
        <v>22</v>
      </c>
      <c r="AM40" s="481"/>
      <c r="AN40" s="485">
        <f>IF(OR(AJ40="",AL40=""),"",AJ40-AL40)</f>
        <v>-18</v>
      </c>
      <c r="AO40" s="481"/>
      <c r="AP40" s="488">
        <f>IF(OR($AI$18="",$AK$18=""),"",RANK(AS40:AS42,$AS$31:$AS$42))</f>
        <v>3</v>
      </c>
      <c r="AQ40" s="488"/>
      <c r="AR40" s="488"/>
      <c r="AS40" s="130">
        <f>SUM($AB40*10000,$AD40*1000,$AN40*100,$AJ40)</f>
        <v>29204</v>
      </c>
      <c r="AT40" s="125" t="str">
        <f>B40</f>
        <v>瀬戸中</v>
      </c>
      <c r="AU40" s="125"/>
      <c r="AV40" s="125"/>
      <c r="AW40" s="125"/>
      <c r="AX40" s="124"/>
      <c r="AY40" s="124"/>
    </row>
    <row r="41" spans="1:51" s="123" customFormat="1" ht="13.5" customHeight="1" x14ac:dyDescent="0.15">
      <c r="A41" s="460"/>
      <c r="B41" s="463"/>
      <c r="C41" s="498"/>
      <c r="D41" s="128">
        <f>AK22</f>
        <v>0</v>
      </c>
      <c r="E41" s="128" t="s">
        <v>43</v>
      </c>
      <c r="F41" s="128">
        <f>AI22</f>
        <v>4</v>
      </c>
      <c r="G41" s="505"/>
      <c r="H41" s="498"/>
      <c r="I41" s="128">
        <f>AK24</f>
        <v>3</v>
      </c>
      <c r="J41" s="128" t="s">
        <v>43</v>
      </c>
      <c r="K41" s="128">
        <f>AI24</f>
        <v>1</v>
      </c>
      <c r="L41" s="505"/>
      <c r="M41" s="498"/>
      <c r="N41" s="128">
        <f>AK18</f>
        <v>0</v>
      </c>
      <c r="O41" s="128" t="s">
        <v>43</v>
      </c>
      <c r="P41" s="128">
        <f>AI18</f>
        <v>7</v>
      </c>
      <c r="Q41" s="505"/>
      <c r="R41" s="466"/>
      <c r="S41" s="129"/>
      <c r="T41" s="129"/>
      <c r="U41" s="129"/>
      <c r="V41" s="468"/>
      <c r="W41" s="498"/>
      <c r="X41" s="128" t="str">
        <f>IF(W$30="","",VLOOKUP($A$40&amp;W$29,$AV$15:$AX$26,3,FALSE))</f>
        <v/>
      </c>
      <c r="Y41" s="128"/>
      <c r="Z41" s="128" t="str">
        <f>IF(W$30="","",VLOOKUP(W$29&amp;$A40,$AV$15:$AX$26,3,FALSE))</f>
        <v/>
      </c>
      <c r="AA41" s="500"/>
      <c r="AB41" s="501"/>
      <c r="AC41" s="502"/>
      <c r="AD41" s="503"/>
      <c r="AE41" s="503"/>
      <c r="AF41" s="503"/>
      <c r="AG41" s="503"/>
      <c r="AH41" s="503"/>
      <c r="AI41" s="503"/>
      <c r="AJ41" s="482"/>
      <c r="AK41" s="483"/>
      <c r="AL41" s="486"/>
      <c r="AM41" s="483"/>
      <c r="AN41" s="486"/>
      <c r="AO41" s="483"/>
      <c r="AP41" s="488"/>
      <c r="AQ41" s="488"/>
      <c r="AR41" s="488"/>
      <c r="AS41" s="127"/>
      <c r="AT41" s="125"/>
      <c r="AU41" s="125"/>
      <c r="AV41" s="125"/>
      <c r="AW41" s="125"/>
      <c r="AX41" s="124"/>
      <c r="AY41" s="124"/>
    </row>
    <row r="42" spans="1:51" s="123" customFormat="1" ht="18" customHeight="1" x14ac:dyDescent="0.15">
      <c r="A42" s="461"/>
      <c r="B42" s="464"/>
      <c r="C42" s="495" t="str">
        <f>IF(OR(C40="",G40=""),"",IF(C40&gt;G40,"○",IF(C40=G40,"△",IF(C40&lt;G40,"☓",""))))</f>
        <v>☓</v>
      </c>
      <c r="D42" s="496"/>
      <c r="E42" s="496"/>
      <c r="F42" s="496"/>
      <c r="G42" s="506"/>
      <c r="H42" s="495" t="str">
        <f>IF(OR(H40="",L40=""),"",IF(H40&gt;L40,"○",IF(H40=L40,"△",IF(H40&lt;L40,"☓",""))))</f>
        <v>○</v>
      </c>
      <c r="I42" s="496"/>
      <c r="J42" s="496"/>
      <c r="K42" s="496"/>
      <c r="L42" s="506"/>
      <c r="M42" s="495" t="str">
        <f>IF(OR(M40="",Q40=""),"",IF(M40&gt;Q40,"○",IF(M40=Q40,"△",IF(M40&lt;Q40,"☓",""))))</f>
        <v>☓</v>
      </c>
      <c r="N42" s="496"/>
      <c r="O42" s="496"/>
      <c r="P42" s="496"/>
      <c r="Q42" s="506"/>
      <c r="R42" s="489"/>
      <c r="S42" s="490"/>
      <c r="T42" s="490"/>
      <c r="U42" s="490"/>
      <c r="V42" s="491"/>
      <c r="W42" s="495" t="str">
        <f>IF(OR(W40="",AA40=""),"",IF(W40&gt;AA40,"○",IF(W40=AA40,"△",IF(W40&lt;AA40,"●",""))))</f>
        <v/>
      </c>
      <c r="X42" s="496"/>
      <c r="Y42" s="496"/>
      <c r="Z42" s="496"/>
      <c r="AA42" s="496"/>
      <c r="AB42" s="501"/>
      <c r="AC42" s="502"/>
      <c r="AD42" s="503"/>
      <c r="AE42" s="503"/>
      <c r="AF42" s="503"/>
      <c r="AG42" s="503"/>
      <c r="AH42" s="503"/>
      <c r="AI42" s="503"/>
      <c r="AJ42" s="409"/>
      <c r="AK42" s="484"/>
      <c r="AL42" s="487"/>
      <c r="AM42" s="484"/>
      <c r="AN42" s="487"/>
      <c r="AO42" s="484"/>
      <c r="AP42" s="488"/>
      <c r="AQ42" s="488"/>
      <c r="AR42" s="488"/>
      <c r="AS42" s="126"/>
      <c r="AT42" s="125">
        <f>B42</f>
        <v>0</v>
      </c>
      <c r="AU42" s="125"/>
      <c r="AV42" s="125"/>
      <c r="AW42" s="125"/>
      <c r="AX42" s="124"/>
      <c r="AY42" s="124"/>
    </row>
    <row r="43" spans="1:51" s="123" customFormat="1" ht="13.5" hidden="1" customHeight="1" x14ac:dyDescent="0.15">
      <c r="A43" s="459" t="str">
        <f>IF($P$10&gt;4,AT10,"")</f>
        <v/>
      </c>
      <c r="B43" s="511" t="str">
        <f>IF(H10="","",LEFT(VLOOKUP(A43,$G$6:$P$10,2,FALSE),10))</f>
        <v/>
      </c>
      <c r="C43" s="514" t="str">
        <f>IF(AND(D43="",D44=""),"",SUM(D43:D44))</f>
        <v/>
      </c>
      <c r="D43" s="238" t="str">
        <f>IF(OR(B43="",C$30=""),"",VLOOKUP($A43&amp;C$29,$AV$15:$AX$26,2,FALSE))</f>
        <v/>
      </c>
      <c r="E43" s="238" t="s">
        <v>43</v>
      </c>
      <c r="F43" s="238" t="str">
        <f>IF(OR(B43="",C$30=""),"",VLOOKUP(C$29&amp;$A43,$AV$15:$AX$26,2,FALSE))</f>
        <v/>
      </c>
      <c r="G43" s="516" t="str">
        <f>IF(AND(F43="",F44=""),"",SUM(F43:F44))</f>
        <v/>
      </c>
      <c r="H43" s="514" t="str">
        <f>IF(AND(I43="",I44=""),"",SUM(I43:I44))</f>
        <v/>
      </c>
      <c r="I43" s="238" t="str">
        <f>IF(OR(B43="",$H$30=""),"",VLOOKUP($A43&amp;$H$29,$AV$15:$AX$26,2,FALSE))</f>
        <v/>
      </c>
      <c r="J43" s="238" t="s">
        <v>43</v>
      </c>
      <c r="K43" s="238" t="str">
        <f>IF(OR(B43="",$H$30=""),"",VLOOKUP(H$29&amp;$A43,$AV$15:$AX$26,2,FALSE))</f>
        <v/>
      </c>
      <c r="L43" s="516" t="str">
        <f>IF(AND(K43="",K44=""),"",SUM(K43:K44))</f>
        <v/>
      </c>
      <c r="M43" s="514" t="str">
        <f>IF(AND(N43="",N44=""),"",SUM(N43:N44))</f>
        <v/>
      </c>
      <c r="N43" s="238" t="str">
        <f>IF(OR(B43="",$M$30=""),"",VLOOKUP($A43&amp;M29,$AV$15:$AX$26,2,FALSE))</f>
        <v/>
      </c>
      <c r="O43" s="238" t="s">
        <v>43</v>
      </c>
      <c r="P43" s="238" t="str">
        <f>IF(OR(B43="",$H$30=""),"",VLOOKUP(M$29&amp;$A$43,$AV$15:$AX$26,2,FALSE))</f>
        <v/>
      </c>
      <c r="Q43" s="516" t="str">
        <f>IF(AND(P43="",P44=""),"",SUM(P43:P44))</f>
        <v/>
      </c>
      <c r="R43" s="514" t="str">
        <f>IF(AND(S43="",S44=""),"",SUM(S43:S44))</f>
        <v/>
      </c>
      <c r="S43" s="238" t="str">
        <f>IF(OR(B43="",R$30=""),"",VLOOKUP(A43&amp;R$29,$AV$15:$AX$26,2,FALSE))</f>
        <v/>
      </c>
      <c r="T43" s="238" t="s">
        <v>43</v>
      </c>
      <c r="U43" s="238" t="str">
        <f>IF(OR(B43="",R$30=""),"",VLOOKUP(R$29&amp;A43,$AV$15:$AX$26,2,FALSE))</f>
        <v/>
      </c>
      <c r="V43" s="516" t="str">
        <f>IF(AND(U43="",U44=""),"",SUM(U43:U44))</f>
        <v/>
      </c>
      <c r="W43" s="535"/>
      <c r="X43" s="237"/>
      <c r="Y43" s="237"/>
      <c r="Z43" s="237"/>
      <c r="AA43" s="537"/>
      <c r="AB43" s="529" t="str">
        <f>IF(AND($C45="",$H45="",$M45="",$R45="",$W45=""),"",SUM(3*AD43,1*AF43))</f>
        <v/>
      </c>
      <c r="AC43" s="530"/>
      <c r="AD43" s="531" t="str">
        <f>IF(AND($C45="",$H45="",$M45="",$R45="",$W45=""),"",COUNTIF($C45:$AA45,"○"))</f>
        <v/>
      </c>
      <c r="AE43" s="531"/>
      <c r="AF43" s="531" t="str">
        <f>IF(AND($C45="",$H45="",$M45="",$R45="",$W45=""),"",COUNTIF($C45:$AA45,"△"))</f>
        <v/>
      </c>
      <c r="AG43" s="531"/>
      <c r="AH43" s="531" t="str">
        <f>IF(AND($C45="",$H45="",$M45="",$R45="",$W45=""),"",COUNTIF($C45:$AA45,"●"))</f>
        <v/>
      </c>
      <c r="AI43" s="531"/>
      <c r="AJ43" s="532" t="str">
        <f>IF(AND(C43="",H43="",M43="",R43="",W43=""),"",SUM(C43,H43,M43,R43,W43))</f>
        <v/>
      </c>
      <c r="AK43" s="519"/>
      <c r="AL43" s="518" t="str">
        <f>IF(AND(G43="",L43="",Q43="",V43="",AA43=""),"",SUM(G43,L43,Q43,V43,AA43))</f>
        <v/>
      </c>
      <c r="AM43" s="519"/>
      <c r="AN43" s="518" t="str">
        <f>IF(AND(AJ43="",AL43=""),"",AJ43-AL43)</f>
        <v/>
      </c>
      <c r="AO43" s="519"/>
      <c r="AP43" s="488" t="str">
        <f>IF(OR($AJ$31="",$AJ$34="",$AJ$37="",$AJ$40="",AJ43=""),"",RANK(AS43,$AS$31:$AS$42))</f>
        <v/>
      </c>
      <c r="AQ43" s="488"/>
      <c r="AR43" s="488"/>
      <c r="AS43" s="130" t="e">
        <f>SUM($AB43*10000,$AD43*1000,$AN43*100,$AJ43)</f>
        <v>#VALUE!</v>
      </c>
      <c r="AT43" s="125" t="str">
        <f>B43</f>
        <v/>
      </c>
      <c r="AU43" s="125"/>
      <c r="AV43" s="125"/>
      <c r="AW43" s="125"/>
    </row>
    <row r="44" spans="1:51" s="123" customFormat="1" ht="13.5" hidden="1" customHeight="1" x14ac:dyDescent="0.15">
      <c r="A44" s="460"/>
      <c r="B44" s="512"/>
      <c r="C44" s="515"/>
      <c r="D44" s="236" t="str">
        <f>IF(OR(B43="",C$30=""),"",VLOOKUP($A43&amp;C$29,$AV$15:$AX$26,3,FALSE))</f>
        <v/>
      </c>
      <c r="E44" s="236" t="s">
        <v>43</v>
      </c>
      <c r="F44" s="236" t="str">
        <f>IF(OR(B43="",C$30=""),"",VLOOKUP(C$29&amp;$A43,$AV$15:$AX$26,3,FALSE))</f>
        <v/>
      </c>
      <c r="G44" s="517"/>
      <c r="H44" s="515"/>
      <c r="I44" s="236" t="str">
        <f>IF(OR(B43="",H$30=""),"",VLOOKUP($A43&amp;$H$29,$AV$15:$AX$26,3,FALSE))</f>
        <v/>
      </c>
      <c r="J44" s="236" t="s">
        <v>43</v>
      </c>
      <c r="K44" s="236" t="str">
        <f>IF(OR(B43="",H$30=""),"",VLOOKUP(H$29&amp;$A43,$AV$15:$AX$26,3,FALSE))</f>
        <v/>
      </c>
      <c r="L44" s="517"/>
      <c r="M44" s="515"/>
      <c r="N44" s="236" t="str">
        <f>IF(OR(B43="",M$30=""),"",VLOOKUP($A43&amp;$M$29,$AV$15:$AX$26,3,FALSE))</f>
        <v/>
      </c>
      <c r="O44" s="236" t="s">
        <v>43</v>
      </c>
      <c r="P44" s="236" t="str">
        <f>IF(OR(B43="",M$30=""),"",VLOOKUP(M$29&amp;$A43,$AV$15:$AX$26,3,FALSE))</f>
        <v/>
      </c>
      <c r="Q44" s="517"/>
      <c r="R44" s="515"/>
      <c r="S44" s="236" t="str">
        <f>IF(OR(B43="",R$30=""),"",VLOOKUP(A43&amp;R$29,$AV$15:$AX$26,3,FALSE))</f>
        <v/>
      </c>
      <c r="T44" s="236" t="s">
        <v>43</v>
      </c>
      <c r="U44" s="236" t="str">
        <f>IF(OR(B43="",R$30=""),"",VLOOKUP(R$29&amp;A43,$AV$15:$AX$26,3,FALSE))</f>
        <v/>
      </c>
      <c r="V44" s="517"/>
      <c r="W44" s="536"/>
      <c r="X44" s="235"/>
      <c r="Y44" s="235"/>
      <c r="Z44" s="235"/>
      <c r="AA44" s="538"/>
      <c r="AB44" s="529"/>
      <c r="AC44" s="530"/>
      <c r="AD44" s="531"/>
      <c r="AE44" s="531"/>
      <c r="AF44" s="531"/>
      <c r="AG44" s="531"/>
      <c r="AH44" s="531"/>
      <c r="AI44" s="531"/>
      <c r="AJ44" s="533"/>
      <c r="AK44" s="521"/>
      <c r="AL44" s="520"/>
      <c r="AM44" s="521"/>
      <c r="AN44" s="520"/>
      <c r="AO44" s="521"/>
      <c r="AP44" s="488"/>
      <c r="AQ44" s="488"/>
      <c r="AR44" s="488"/>
      <c r="AS44" s="127"/>
      <c r="AT44" s="125"/>
      <c r="AU44" s="125"/>
      <c r="AV44" s="125"/>
      <c r="AW44" s="125"/>
    </row>
    <row r="45" spans="1:51" s="123" customFormat="1" ht="18" hidden="1" customHeight="1" x14ac:dyDescent="0.15">
      <c r="A45" s="461"/>
      <c r="B45" s="513"/>
      <c r="C45" s="524" t="str">
        <f>IF(OR(C43="",G43=""),"",IF(C43&gt;G43,"○",IF(C43=G43,"△",IF(C43&lt;G43,"●",""))))</f>
        <v/>
      </c>
      <c r="D45" s="525"/>
      <c r="E45" s="525"/>
      <c r="F45" s="525"/>
      <c r="G45" s="526"/>
      <c r="H45" s="524" t="str">
        <f>IF(OR(H43="",L43=""),"",IF(H43&gt;L43,"○",IF(H43=L43,"△",IF(H43&lt;L43,"●",""))))</f>
        <v/>
      </c>
      <c r="I45" s="525"/>
      <c r="J45" s="525"/>
      <c r="K45" s="525"/>
      <c r="L45" s="526"/>
      <c r="M45" s="524" t="str">
        <f>IF(OR(M43="",Q43=""),"",IF(M43&gt;Q43,"○",IF(M43=Q43,"△",IF(M43&lt;Q43,"●",""))))</f>
        <v/>
      </c>
      <c r="N45" s="525"/>
      <c r="O45" s="525"/>
      <c r="P45" s="525"/>
      <c r="Q45" s="526"/>
      <c r="R45" s="524" t="str">
        <f>IF(OR(R43="",V43=""),"",IF(R43&gt;V43,"○",IF(R43=V43,"△",IF(R43&lt;V43,"●",""))))</f>
        <v/>
      </c>
      <c r="S45" s="525"/>
      <c r="T45" s="525"/>
      <c r="U45" s="525"/>
      <c r="V45" s="526"/>
      <c r="W45" s="527"/>
      <c r="X45" s="528"/>
      <c r="Y45" s="528"/>
      <c r="Z45" s="528"/>
      <c r="AA45" s="528"/>
      <c r="AB45" s="529"/>
      <c r="AC45" s="530"/>
      <c r="AD45" s="531"/>
      <c r="AE45" s="531"/>
      <c r="AF45" s="531"/>
      <c r="AG45" s="531"/>
      <c r="AH45" s="531"/>
      <c r="AI45" s="531"/>
      <c r="AJ45" s="534"/>
      <c r="AK45" s="523"/>
      <c r="AL45" s="522"/>
      <c r="AM45" s="523"/>
      <c r="AN45" s="522"/>
      <c r="AO45" s="523"/>
      <c r="AP45" s="488"/>
      <c r="AQ45" s="488"/>
      <c r="AR45" s="488"/>
      <c r="AS45" s="126"/>
      <c r="AT45" s="125">
        <f>B45</f>
        <v>0</v>
      </c>
      <c r="AU45" s="125"/>
      <c r="AV45" s="125"/>
      <c r="AW45" s="125"/>
    </row>
  </sheetData>
  <sheetProtection selectLockedCells="1"/>
  <mergeCells count="251">
    <mergeCell ref="AN43:AO45"/>
    <mergeCell ref="AP43:AR45"/>
    <mergeCell ref="C45:G45"/>
    <mergeCell ref="H45:L45"/>
    <mergeCell ref="M45:Q45"/>
    <mergeCell ref="R45:V45"/>
    <mergeCell ref="W45:AA45"/>
    <mergeCell ref="AB43:AC45"/>
    <mergeCell ref="AD43:AE45"/>
    <mergeCell ref="AF43:AG45"/>
    <mergeCell ref="AH43:AI45"/>
    <mergeCell ref="AJ43:AK45"/>
    <mergeCell ref="AL43:AM45"/>
    <mergeCell ref="M43:M44"/>
    <mergeCell ref="Q43:Q44"/>
    <mergeCell ref="R43:R44"/>
    <mergeCell ref="V43:V44"/>
    <mergeCell ref="W43:W44"/>
    <mergeCell ref="AA43:AA44"/>
    <mergeCell ref="A43:A45"/>
    <mergeCell ref="B43:B45"/>
    <mergeCell ref="C43:C44"/>
    <mergeCell ref="G43:G44"/>
    <mergeCell ref="H43:H44"/>
    <mergeCell ref="L43:L44"/>
    <mergeCell ref="AN40:AO42"/>
    <mergeCell ref="AP40:AR42"/>
    <mergeCell ref="C42:G42"/>
    <mergeCell ref="H42:L42"/>
    <mergeCell ref="M42:Q42"/>
    <mergeCell ref="R42:V42"/>
    <mergeCell ref="W42:AA42"/>
    <mergeCell ref="AB40:AC42"/>
    <mergeCell ref="AD40:AE42"/>
    <mergeCell ref="AF40:AG42"/>
    <mergeCell ref="AH40:AI42"/>
    <mergeCell ref="AJ40:AK42"/>
    <mergeCell ref="AL40:AM42"/>
    <mergeCell ref="M40:M41"/>
    <mergeCell ref="Q40:Q41"/>
    <mergeCell ref="R40:R41"/>
    <mergeCell ref="V40:V41"/>
    <mergeCell ref="W40:W41"/>
    <mergeCell ref="AA40:AA41"/>
    <mergeCell ref="A40:A42"/>
    <mergeCell ref="B40:B42"/>
    <mergeCell ref="C40:C41"/>
    <mergeCell ref="G40:G41"/>
    <mergeCell ref="H40:H41"/>
    <mergeCell ref="L40:L41"/>
    <mergeCell ref="AN37:AO39"/>
    <mergeCell ref="AP37:AR39"/>
    <mergeCell ref="C39:G39"/>
    <mergeCell ref="H39:L39"/>
    <mergeCell ref="M39:Q39"/>
    <mergeCell ref="R39:V39"/>
    <mergeCell ref="W39:AA39"/>
    <mergeCell ref="AB37:AC39"/>
    <mergeCell ref="AD37:AE39"/>
    <mergeCell ref="AF37:AG39"/>
    <mergeCell ref="AH37:AI39"/>
    <mergeCell ref="AJ37:AK39"/>
    <mergeCell ref="AL37:AM39"/>
    <mergeCell ref="M37:M38"/>
    <mergeCell ref="Q37:Q38"/>
    <mergeCell ref="R37:R38"/>
    <mergeCell ref="V37:V38"/>
    <mergeCell ref="W37:W38"/>
    <mergeCell ref="AA37:AA38"/>
    <mergeCell ref="A37:A39"/>
    <mergeCell ref="B37:B39"/>
    <mergeCell ref="C37:C38"/>
    <mergeCell ref="G37:G38"/>
    <mergeCell ref="H37:H38"/>
    <mergeCell ref="L37:L38"/>
    <mergeCell ref="AN34:AO36"/>
    <mergeCell ref="A34:A36"/>
    <mergeCell ref="B34:B36"/>
    <mergeCell ref="AP34:AR36"/>
    <mergeCell ref="C36:G36"/>
    <mergeCell ref="H36:L36"/>
    <mergeCell ref="M36:Q36"/>
    <mergeCell ref="R36:V36"/>
    <mergeCell ref="W36:AA36"/>
    <mergeCell ref="AB34:AC36"/>
    <mergeCell ref="AD34:AE36"/>
    <mergeCell ref="AF34:AG36"/>
    <mergeCell ref="AH34:AI36"/>
    <mergeCell ref="AJ34:AK36"/>
    <mergeCell ref="AL34:AM36"/>
    <mergeCell ref="M34:M35"/>
    <mergeCell ref="Q34:Q35"/>
    <mergeCell ref="R34:R35"/>
    <mergeCell ref="V34:V35"/>
    <mergeCell ref="W34:W35"/>
    <mergeCell ref="AA34:AA35"/>
    <mergeCell ref="C34:C35"/>
    <mergeCell ref="G34:G35"/>
    <mergeCell ref="H34:H35"/>
    <mergeCell ref="L34:L35"/>
    <mergeCell ref="AL31:AM33"/>
    <mergeCell ref="AN31:AO33"/>
    <mergeCell ref="AP31:AR33"/>
    <mergeCell ref="C33:G33"/>
    <mergeCell ref="H33:L33"/>
    <mergeCell ref="M33:Q33"/>
    <mergeCell ref="R33:V33"/>
    <mergeCell ref="W33:AA33"/>
    <mergeCell ref="V31:V32"/>
    <mergeCell ref="W31:W32"/>
    <mergeCell ref="AA31:AA32"/>
    <mergeCell ref="AB31:AC33"/>
    <mergeCell ref="AD31:AE33"/>
    <mergeCell ref="AF31:AG33"/>
    <mergeCell ref="AP30:AR30"/>
    <mergeCell ref="A31:A33"/>
    <mergeCell ref="B31:B33"/>
    <mergeCell ref="C31:C32"/>
    <mergeCell ref="G31:G32"/>
    <mergeCell ref="H31:H32"/>
    <mergeCell ref="L31:L32"/>
    <mergeCell ref="M31:M32"/>
    <mergeCell ref="Q31:Q32"/>
    <mergeCell ref="R31:R32"/>
    <mergeCell ref="AD30:AE30"/>
    <mergeCell ref="AF30:AG30"/>
    <mergeCell ref="AH30:AI30"/>
    <mergeCell ref="AJ30:AK30"/>
    <mergeCell ref="AL30:AM30"/>
    <mergeCell ref="AN30:AO30"/>
    <mergeCell ref="C30:G30"/>
    <mergeCell ref="H30:L30"/>
    <mergeCell ref="M30:Q30"/>
    <mergeCell ref="R30:V30"/>
    <mergeCell ref="W30:AA30"/>
    <mergeCell ref="AB30:AC30"/>
    <mergeCell ref="AH31:AI33"/>
    <mergeCell ref="AJ31:AK33"/>
    <mergeCell ref="AL25:AL26"/>
    <mergeCell ref="AM25:AQ26"/>
    <mergeCell ref="AR25:AR26"/>
    <mergeCell ref="AS25:AS26"/>
    <mergeCell ref="B27:AR27"/>
    <mergeCell ref="C29:G29"/>
    <mergeCell ref="H29:L29"/>
    <mergeCell ref="M29:Q29"/>
    <mergeCell ref="R29:V29"/>
    <mergeCell ref="W29:AA29"/>
    <mergeCell ref="C25:M26"/>
    <mergeCell ref="N25:P26"/>
    <mergeCell ref="Q25:T26"/>
    <mergeCell ref="U25:V26"/>
    <mergeCell ref="W25:Z26"/>
    <mergeCell ref="AA25:AA26"/>
    <mergeCell ref="AB25:AB26"/>
    <mergeCell ref="AC25:AG26"/>
    <mergeCell ref="AH25:AH26"/>
    <mergeCell ref="AL21:AL22"/>
    <mergeCell ref="AM21:AQ22"/>
    <mergeCell ref="AR21:AR22"/>
    <mergeCell ref="AS21:AS22"/>
    <mergeCell ref="C23:M24"/>
    <mergeCell ref="N23:P24"/>
    <mergeCell ref="Q23:T24"/>
    <mergeCell ref="U23:V24"/>
    <mergeCell ref="W23:Z24"/>
    <mergeCell ref="AA23:AA24"/>
    <mergeCell ref="AS23:AS24"/>
    <mergeCell ref="AB23:AB24"/>
    <mergeCell ref="AC23:AG24"/>
    <mergeCell ref="AH23:AH24"/>
    <mergeCell ref="AL23:AL24"/>
    <mergeCell ref="AM23:AQ24"/>
    <mergeCell ref="AR23:AR24"/>
    <mergeCell ref="C21:M22"/>
    <mergeCell ref="N21:P22"/>
    <mergeCell ref="Q21:T22"/>
    <mergeCell ref="U21:V22"/>
    <mergeCell ref="W21:Z22"/>
    <mergeCell ref="AA21:AA22"/>
    <mergeCell ref="AB21:AB22"/>
    <mergeCell ref="AC21:AG22"/>
    <mergeCell ref="AH21:AH22"/>
    <mergeCell ref="AR17:AR18"/>
    <mergeCell ref="AS17:AS18"/>
    <mergeCell ref="C19:M20"/>
    <mergeCell ref="N19:P20"/>
    <mergeCell ref="Q19:T20"/>
    <mergeCell ref="U19:V20"/>
    <mergeCell ref="W19:Z20"/>
    <mergeCell ref="AA19:AA20"/>
    <mergeCell ref="AS19:AS20"/>
    <mergeCell ref="AB19:AB20"/>
    <mergeCell ref="AC19:AG20"/>
    <mergeCell ref="AH19:AH20"/>
    <mergeCell ref="AL19:AL20"/>
    <mergeCell ref="AM19:AQ20"/>
    <mergeCell ref="AR19:AR20"/>
    <mergeCell ref="AS15:AS16"/>
    <mergeCell ref="C17:M18"/>
    <mergeCell ref="N17:P18"/>
    <mergeCell ref="Q17:T18"/>
    <mergeCell ref="U17:V18"/>
    <mergeCell ref="W17:Z18"/>
    <mergeCell ref="AA17:AA18"/>
    <mergeCell ref="AB17:AB18"/>
    <mergeCell ref="AC17:AG18"/>
    <mergeCell ref="AH17:AH18"/>
    <mergeCell ref="AB15:AB16"/>
    <mergeCell ref="AC15:AG16"/>
    <mergeCell ref="AH15:AH16"/>
    <mergeCell ref="AL15:AL16"/>
    <mergeCell ref="AM15:AQ16"/>
    <mergeCell ref="AR15:AR16"/>
    <mergeCell ref="C15:M16"/>
    <mergeCell ref="N15:P16"/>
    <mergeCell ref="Q15:T16"/>
    <mergeCell ref="U15:V16"/>
    <mergeCell ref="W15:Z16"/>
    <mergeCell ref="AA15:AA16"/>
    <mergeCell ref="AL17:AL18"/>
    <mergeCell ref="AM17:AQ18"/>
    <mergeCell ref="AG10:AK10"/>
    <mergeCell ref="AN12:AO12"/>
    <mergeCell ref="AW13:AX13"/>
    <mergeCell ref="C14:M14"/>
    <mergeCell ref="AB14:AF14"/>
    <mergeCell ref="AM14:AR14"/>
    <mergeCell ref="F9:G9"/>
    <mergeCell ref="H9:L9"/>
    <mergeCell ref="M9:P9"/>
    <mergeCell ref="R9:S9"/>
    <mergeCell ref="Q10:S10"/>
    <mergeCell ref="Z10:AD10"/>
    <mergeCell ref="F7:G7"/>
    <mergeCell ref="H7:L7"/>
    <mergeCell ref="M7:P7"/>
    <mergeCell ref="R7:S7"/>
    <mergeCell ref="F8:G8"/>
    <mergeCell ref="H8:L8"/>
    <mergeCell ref="M8:P8"/>
    <mergeCell ref="R8:S8"/>
    <mergeCell ref="B1:AR1"/>
    <mergeCell ref="Y4:AD4"/>
    <mergeCell ref="AG4:AK4"/>
    <mergeCell ref="H5:P5"/>
    <mergeCell ref="R5:S5"/>
    <mergeCell ref="F6:G6"/>
    <mergeCell ref="H6:L6"/>
    <mergeCell ref="M6:P6"/>
    <mergeCell ref="R6:S6"/>
  </mergeCells>
  <phoneticPr fontId="2"/>
  <conditionalFormatting sqref="M6 H6:H9 AK15:AK26 AI15:AI26">
    <cfRule type="cellIs" dxfId="75" priority="2" stopIfTrue="1" operator="equal">
      <formula>""</formula>
    </cfRule>
  </conditionalFormatting>
  <conditionalFormatting sqref="B1:AR1">
    <cfRule type="cellIs" dxfId="74" priority="3" stopIfTrue="1" operator="equal">
      <formula>""</formula>
    </cfRule>
    <cfRule type="cellIs" dxfId="73" priority="4" stopIfTrue="1" operator="equal">
      <formula>"ここへ「大会名」等を投入して下さい"</formula>
    </cfRule>
  </conditionalFormatting>
  <conditionalFormatting sqref="M7:M9">
    <cfRule type="cellIs" dxfId="72" priority="1" stopIfTrue="1" operator="equal">
      <formula>""</formula>
    </cfRule>
  </conditionalFormatting>
  <dataValidations count="4">
    <dataValidation imeMode="hiragana" allowBlank="1" showInputMessage="1" showErrorMessage="1" sqref="B1"/>
    <dataValidation imeMode="off" allowBlank="1" showInputMessage="1" showErrorMessage="1" sqref="AI15:AK26"/>
    <dataValidation type="textLength" imeMode="hiragana" operator="lessThanOrEqual" allowBlank="1" showInputMessage="1" showErrorMessage="1" sqref="Z9:AA9 AG7 X9:Y10 Y6:AA6 AI7 W9 S10 V9:V10 W7 X6:X7 T7:U10">
      <formula1>8</formula1>
    </dataValidation>
    <dataValidation imeMode="hiragana" operator="lessThanOrEqual" allowBlank="1" showInputMessage="1" showErrorMessage="1" sqref="N10:O10 M6:M10 I10:L10 H6:H10"/>
  </dataValidations>
  <printOptions horizontalCentered="1"/>
  <pageMargins left="0.39370078740157483" right="0.39370078740157483" top="0.59055118110236227" bottom="0.66" header="0.43307086614173229" footer="0.51181102362204722"/>
  <pageSetup paperSize="9" scale="92" orientation="portrait" horizontalDpi="300" verticalDpi="300" r:id="rId1"/>
  <headerFooter alignWithMargins="0">
    <oddFooter>&amp;R&amp;6「リーグ君」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A86E5"/>
    <pageSetUpPr fitToPage="1"/>
  </sheetPr>
  <dimension ref="A1:AY45"/>
  <sheetViews>
    <sheetView showGridLines="0" topLeftCell="B1" zoomScale="85" zoomScaleNormal="85" workbookViewId="0">
      <selection activeCell="AA23" sqref="AA23:AA24"/>
    </sheetView>
  </sheetViews>
  <sheetFormatPr defaultColWidth="9" defaultRowHeight="13.5" x14ac:dyDescent="0.15"/>
  <cols>
    <col min="1" max="1" width="2.875" style="120" hidden="1" customWidth="1"/>
    <col min="2" max="2" width="9" style="120"/>
    <col min="3" max="3" width="2.5" style="120" customWidth="1"/>
    <col min="4" max="4" width="1.625" style="122" customWidth="1"/>
    <col min="5" max="5" width="1.25" style="120" customWidth="1"/>
    <col min="6" max="6" width="1.625" style="120" customWidth="1"/>
    <col min="7" max="8" width="2.5" style="120" customWidth="1"/>
    <col min="9" max="9" width="1.625" style="120" customWidth="1"/>
    <col min="10" max="10" width="1.25" style="120" customWidth="1"/>
    <col min="11" max="11" width="1.625" style="122" customWidth="1"/>
    <col min="12" max="13" width="2.5" style="120" customWidth="1"/>
    <col min="14" max="14" width="1.625" style="120" customWidth="1"/>
    <col min="15" max="15" width="1.25" style="122" customWidth="1"/>
    <col min="16" max="16" width="1.625" style="122" customWidth="1"/>
    <col min="17" max="18" width="2.5" style="120" customWidth="1"/>
    <col min="19" max="19" width="1.625" style="120" customWidth="1"/>
    <col min="20" max="20" width="1.25" style="122" customWidth="1"/>
    <col min="21" max="21" width="1.625" style="122" customWidth="1"/>
    <col min="22" max="23" width="2.5" style="120" customWidth="1"/>
    <col min="24" max="24" width="1.625" style="120" customWidth="1"/>
    <col min="25" max="25" width="1.25" style="122" customWidth="1"/>
    <col min="26" max="26" width="1.625" style="122" customWidth="1"/>
    <col min="27" max="27" width="2.5" style="122" customWidth="1"/>
    <col min="28" max="35" width="2.75" style="120" customWidth="1"/>
    <col min="36" max="36" width="2.75" style="121" customWidth="1"/>
    <col min="37" max="44" width="2.75" style="120" customWidth="1"/>
    <col min="45" max="45" width="4.125" style="120" hidden="1" customWidth="1"/>
    <col min="46" max="46" width="2.5" style="120" hidden="1" customWidth="1"/>
    <col min="47" max="47" width="2.75" style="120" hidden="1" customWidth="1"/>
    <col min="48" max="49" width="4.625" style="120" hidden="1" customWidth="1"/>
    <col min="50" max="50" width="6.5" style="120" hidden="1" customWidth="1"/>
    <col min="51" max="51" width="9" style="120" hidden="1" customWidth="1"/>
    <col min="52" max="16384" width="9" style="120"/>
  </cols>
  <sheetData>
    <row r="1" spans="1:51" ht="30.75" customHeight="1" x14ac:dyDescent="0.2">
      <c r="A1" s="141"/>
      <c r="B1" s="410" t="str">
        <f>[1]参加チーム!B1</f>
        <v>第２５回中国中学生ホッケー選手権大会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  <c r="AC1" s="410"/>
      <c r="AD1" s="410"/>
      <c r="AE1" s="410"/>
      <c r="AF1" s="410"/>
      <c r="AG1" s="410"/>
      <c r="AH1" s="410"/>
      <c r="AI1" s="410"/>
      <c r="AJ1" s="410"/>
      <c r="AK1" s="410"/>
      <c r="AL1" s="410"/>
      <c r="AM1" s="410"/>
      <c r="AN1" s="410"/>
      <c r="AO1" s="410"/>
      <c r="AP1" s="410"/>
      <c r="AQ1" s="410"/>
      <c r="AR1" s="410"/>
      <c r="AS1" s="234"/>
      <c r="AT1" s="141"/>
      <c r="AU1" s="141"/>
      <c r="AV1" s="141"/>
      <c r="AW1" s="141"/>
      <c r="AX1" s="141"/>
      <c r="AY1" s="140"/>
    </row>
    <row r="2" spans="1:51" ht="18" customHeight="1" x14ac:dyDescent="0.15">
      <c r="A2" s="141"/>
      <c r="B2" s="179"/>
      <c r="C2" s="179"/>
      <c r="D2" s="182"/>
      <c r="E2" s="179"/>
      <c r="F2" s="179"/>
      <c r="G2" s="179"/>
      <c r="H2" s="179"/>
      <c r="I2" s="179"/>
      <c r="J2" s="179"/>
      <c r="K2" s="182"/>
      <c r="L2" s="179"/>
      <c r="M2" s="179"/>
      <c r="N2" s="179"/>
      <c r="O2" s="182"/>
      <c r="P2" s="182"/>
      <c r="Q2" s="179"/>
      <c r="R2" s="179"/>
      <c r="S2" s="179"/>
      <c r="T2" s="182"/>
      <c r="U2" s="182"/>
      <c r="V2" s="179"/>
      <c r="W2" s="179"/>
      <c r="X2" s="179"/>
      <c r="Y2" s="182"/>
      <c r="Z2" s="182"/>
      <c r="AA2" s="182"/>
      <c r="AB2" s="175"/>
      <c r="AC2" s="179"/>
      <c r="AD2" s="219"/>
      <c r="AE2" s="219"/>
      <c r="AF2" s="219"/>
      <c r="AG2" s="219"/>
      <c r="AH2" s="175"/>
      <c r="AI2" s="175"/>
      <c r="AJ2" s="175"/>
      <c r="AK2" s="175"/>
      <c r="AL2" s="233"/>
      <c r="AM2" s="233"/>
      <c r="AN2" s="233"/>
      <c r="AO2" s="233"/>
      <c r="AP2" s="233"/>
      <c r="AQ2" s="233"/>
      <c r="AR2" s="233"/>
      <c r="AS2" s="232"/>
      <c r="AT2" s="141"/>
      <c r="AU2" s="141"/>
      <c r="AV2" s="141"/>
      <c r="AW2" s="141"/>
      <c r="AX2" s="141"/>
      <c r="AY2" s="140"/>
    </row>
    <row r="3" spans="1:51" x14ac:dyDescent="0.15">
      <c r="A3" s="141"/>
      <c r="B3" s="179"/>
      <c r="C3" s="179"/>
      <c r="D3" s="182"/>
      <c r="E3" s="179"/>
      <c r="F3" s="179"/>
      <c r="G3" s="179"/>
      <c r="H3" s="179"/>
      <c r="I3" s="179"/>
      <c r="J3" s="179"/>
      <c r="K3" s="182"/>
      <c r="L3" s="179"/>
      <c r="M3" s="179"/>
      <c r="N3" s="179"/>
      <c r="O3" s="182"/>
      <c r="P3" s="182"/>
      <c r="Q3" s="179"/>
      <c r="R3" s="179"/>
      <c r="S3" s="179"/>
      <c r="T3" s="182"/>
      <c r="U3" s="182"/>
      <c r="V3" s="207"/>
      <c r="W3" s="207"/>
      <c r="X3" s="207"/>
      <c r="Y3" s="182"/>
      <c r="Z3" s="182"/>
      <c r="AA3" s="182"/>
      <c r="AB3" s="191"/>
      <c r="AC3" s="207"/>
      <c r="AD3" s="207"/>
      <c r="AE3" s="179"/>
      <c r="AF3" s="256"/>
      <c r="AG3" s="179"/>
      <c r="AH3" s="191"/>
      <c r="AI3" s="191"/>
      <c r="AJ3" s="191"/>
      <c r="AK3" s="207"/>
      <c r="AL3" s="207"/>
      <c r="AM3" s="193"/>
      <c r="AN3" s="193"/>
      <c r="AO3" s="193"/>
      <c r="AP3" s="191"/>
      <c r="AQ3" s="175"/>
      <c r="AR3" s="175"/>
      <c r="AS3" s="141"/>
      <c r="AT3" s="141"/>
      <c r="AU3" s="141"/>
      <c r="AV3" s="141"/>
      <c r="AW3" s="141"/>
      <c r="AX3" s="141"/>
      <c r="AY3" s="140"/>
    </row>
    <row r="4" spans="1:51" ht="17.25" x14ac:dyDescent="0.2">
      <c r="A4" s="141"/>
      <c r="B4" s="179"/>
      <c r="C4" s="179"/>
      <c r="D4" s="182"/>
      <c r="E4" s="179"/>
      <c r="F4" s="259"/>
      <c r="G4" s="259"/>
      <c r="H4" s="258" t="s">
        <v>69</v>
      </c>
      <c r="I4" s="257"/>
      <c r="J4" s="257"/>
      <c r="K4" s="257"/>
      <c r="L4" s="257"/>
      <c r="M4" s="257"/>
      <c r="N4" s="257"/>
      <c r="O4" s="257"/>
      <c r="P4" s="257"/>
      <c r="Q4" s="175"/>
      <c r="R4" s="189"/>
      <c r="S4" s="189"/>
      <c r="T4" s="182"/>
      <c r="U4" s="182"/>
      <c r="V4" s="207"/>
      <c r="W4" s="207"/>
      <c r="X4" s="207"/>
      <c r="Y4" s="411" t="str">
        <f>VLOOKUP(AB5,$F$6:$Q$9,3,FALSE)</f>
        <v>八頭中</v>
      </c>
      <c r="Z4" s="411"/>
      <c r="AA4" s="411"/>
      <c r="AB4" s="411"/>
      <c r="AC4" s="411"/>
      <c r="AD4" s="411"/>
      <c r="AE4" s="179"/>
      <c r="AF4" s="179"/>
      <c r="AG4" s="411" t="str">
        <f>VLOOKUP(AI5,$F$6:$Q$9,3,FALSE)</f>
        <v>仁多中</v>
      </c>
      <c r="AH4" s="411"/>
      <c r="AI4" s="411"/>
      <c r="AJ4" s="411"/>
      <c r="AK4" s="411"/>
      <c r="AL4" s="193"/>
      <c r="AM4" s="193"/>
      <c r="AN4" s="193"/>
      <c r="AO4" s="228"/>
      <c r="AP4" s="191"/>
      <c r="AQ4" s="175"/>
      <c r="AR4" s="175"/>
      <c r="AS4" s="141"/>
      <c r="AT4" s="141"/>
      <c r="AU4" s="141"/>
      <c r="AV4" s="141"/>
      <c r="AW4" s="141"/>
      <c r="AX4" s="141"/>
      <c r="AY4" s="140"/>
    </row>
    <row r="5" spans="1:51" ht="15" customHeight="1" x14ac:dyDescent="0.15">
      <c r="A5" s="141"/>
      <c r="B5" s="179"/>
      <c r="C5" s="179"/>
      <c r="D5" s="182"/>
      <c r="E5" s="179"/>
      <c r="F5" s="255" t="s">
        <v>64</v>
      </c>
      <c r="G5" s="254"/>
      <c r="H5" s="412" t="s">
        <v>63</v>
      </c>
      <c r="I5" s="413"/>
      <c r="J5" s="413"/>
      <c r="K5" s="413"/>
      <c r="L5" s="413"/>
      <c r="M5" s="413"/>
      <c r="N5" s="413"/>
      <c r="O5" s="413"/>
      <c r="P5" s="413"/>
      <c r="Q5" s="253" t="s">
        <v>68</v>
      </c>
      <c r="R5" s="508"/>
      <c r="S5" s="508"/>
      <c r="T5" s="252"/>
      <c r="U5" s="225"/>
      <c r="V5" s="225"/>
      <c r="W5" s="225"/>
      <c r="X5" s="207"/>
      <c r="Y5" s="207"/>
      <c r="Z5" s="207"/>
      <c r="AA5" s="207"/>
      <c r="AB5" s="194">
        <v>1</v>
      </c>
      <c r="AC5" s="207"/>
      <c r="AD5" s="207"/>
      <c r="AE5" s="223">
        <v>3</v>
      </c>
      <c r="AF5" s="179"/>
      <c r="AG5" s="191"/>
      <c r="AH5" s="222"/>
      <c r="AI5" s="221">
        <v>3</v>
      </c>
      <c r="AJ5" s="175"/>
      <c r="AK5" s="191"/>
      <c r="AL5" s="191"/>
      <c r="AM5" s="191"/>
      <c r="AN5" s="191"/>
      <c r="AO5" s="191"/>
      <c r="AP5" s="191"/>
      <c r="AQ5" s="175"/>
      <c r="AR5" s="220"/>
      <c r="AS5" s="141"/>
      <c r="AT5" s="141"/>
      <c r="AU5" s="141"/>
      <c r="AV5" s="202"/>
      <c r="AW5" s="202"/>
      <c r="AX5" s="202"/>
      <c r="AY5" s="140"/>
    </row>
    <row r="6" spans="1:51" ht="20.25" customHeight="1" x14ac:dyDescent="0.15">
      <c r="A6" s="141"/>
      <c r="B6" s="179"/>
      <c r="C6" s="179"/>
      <c r="D6" s="182"/>
      <c r="E6" s="179"/>
      <c r="F6" s="539">
        <v>1</v>
      </c>
      <c r="G6" s="540" t="str">
        <f>Q6</f>
        <v>G1</v>
      </c>
      <c r="H6" s="417" t="str">
        <f>IF([1]参加チーム!$E$17=8,LEFT(VLOOKUP(F6,[1]参加チーム!$D$29:$F$36,3,FALSE),3),"")</f>
        <v>八頭中</v>
      </c>
      <c r="I6" s="418"/>
      <c r="J6" s="418"/>
      <c r="K6" s="418"/>
      <c r="L6" s="418"/>
      <c r="M6" s="419" t="s">
        <v>62</v>
      </c>
      <c r="N6" s="419"/>
      <c r="O6" s="419"/>
      <c r="P6" s="419"/>
      <c r="Q6" s="218" t="str">
        <f>VLOOKUP(F6,[1]参加チーム!$D$29:$F$35,2,FALSE)</f>
        <v>G1</v>
      </c>
      <c r="R6" s="420"/>
      <c r="S6" s="420"/>
      <c r="T6" s="210"/>
      <c r="U6" s="209"/>
      <c r="V6" s="209"/>
      <c r="W6" s="209"/>
      <c r="X6" s="187"/>
      <c r="Y6" s="187"/>
      <c r="Z6" s="187"/>
      <c r="AA6" s="187"/>
      <c r="AB6" s="179"/>
      <c r="AC6" s="207"/>
      <c r="AD6" s="207"/>
      <c r="AE6" s="179"/>
      <c r="AF6" s="191"/>
      <c r="AG6" s="191"/>
      <c r="AH6" s="179"/>
      <c r="AI6" s="219"/>
      <c r="AJ6" s="219"/>
      <c r="AK6" s="219"/>
      <c r="AL6" s="219"/>
      <c r="AM6" s="191"/>
      <c r="AN6" s="191"/>
      <c r="AO6" s="191"/>
      <c r="AP6" s="191"/>
      <c r="AQ6" s="175"/>
      <c r="AR6" s="175"/>
      <c r="AS6" s="141"/>
      <c r="AT6" s="190">
        <f>IF(F6="","",F6)</f>
        <v>1</v>
      </c>
      <c r="AU6" s="141"/>
      <c r="AV6" s="202"/>
      <c r="AW6" s="202"/>
      <c r="AX6" s="202"/>
      <c r="AY6" s="140"/>
    </row>
    <row r="7" spans="1:51" ht="20.25" customHeight="1" x14ac:dyDescent="0.15">
      <c r="A7" s="141"/>
      <c r="B7" s="179"/>
      <c r="C7" s="179"/>
      <c r="D7" s="182"/>
      <c r="E7" s="179"/>
      <c r="F7" s="539">
        <v>3</v>
      </c>
      <c r="G7" s="540" t="str">
        <f>Q7</f>
        <v>G4</v>
      </c>
      <c r="H7" s="417" t="str">
        <f>IF([1]参加チーム!$E$17=8,LEFT(VLOOKUP(F7,[1]参加チーム!$D$29:$F$36,3,FALSE),3),"")</f>
        <v>仁多中</v>
      </c>
      <c r="I7" s="418"/>
      <c r="J7" s="418"/>
      <c r="K7" s="418"/>
      <c r="L7" s="418"/>
      <c r="M7" s="419" t="s">
        <v>62</v>
      </c>
      <c r="N7" s="419"/>
      <c r="O7" s="419"/>
      <c r="P7" s="419"/>
      <c r="Q7" s="218" t="str">
        <f>VLOOKUP(F7,[1]参加チーム!$D$29:$F$35,2,FALSE)</f>
        <v>G4</v>
      </c>
      <c r="R7" s="420"/>
      <c r="S7" s="420"/>
      <c r="T7" s="210"/>
      <c r="U7" s="209"/>
      <c r="V7" s="209"/>
      <c r="W7" s="209"/>
      <c r="X7" s="187"/>
      <c r="Y7" s="182"/>
      <c r="Z7" s="217"/>
      <c r="AA7" s="216"/>
      <c r="AB7" s="215">
        <v>20</v>
      </c>
      <c r="AC7" s="181"/>
      <c r="AD7" s="214">
        <v>12</v>
      </c>
      <c r="AE7" s="191"/>
      <c r="AF7" s="207"/>
      <c r="AG7" s="213">
        <v>11</v>
      </c>
      <c r="AH7" s="191"/>
      <c r="AI7" s="213">
        <v>19</v>
      </c>
      <c r="AJ7" s="175"/>
      <c r="AK7" s="212"/>
      <c r="AL7" s="211"/>
      <c r="AM7" s="179"/>
      <c r="AN7" s="191"/>
      <c r="AO7" s="191"/>
      <c r="AP7" s="191"/>
      <c r="AQ7" s="175"/>
      <c r="AR7" s="179"/>
      <c r="AS7" s="141"/>
      <c r="AT7" s="190">
        <f>IF(F7="","",F7)</f>
        <v>3</v>
      </c>
      <c r="AU7" s="141"/>
      <c r="AV7" s="202"/>
      <c r="AW7" s="202"/>
      <c r="AX7" s="202"/>
      <c r="AY7" s="140"/>
    </row>
    <row r="8" spans="1:51" ht="20.25" customHeight="1" x14ac:dyDescent="0.15">
      <c r="A8" s="141"/>
      <c r="B8" s="179"/>
      <c r="C8" s="179"/>
      <c r="D8" s="182"/>
      <c r="E8" s="179"/>
      <c r="F8" s="539">
        <v>7</v>
      </c>
      <c r="G8" s="540" t="str">
        <f>Q8</f>
        <v>G6</v>
      </c>
      <c r="H8" s="417" t="str">
        <f>IF([1]参加チーム!$E$17=8,LEFT(VLOOKUP(F8,[1]参加チーム!$D$29:$F$36,3,FALSE),3),"")</f>
        <v>磐梨中</v>
      </c>
      <c r="I8" s="418"/>
      <c r="J8" s="418"/>
      <c r="K8" s="418"/>
      <c r="L8" s="418"/>
      <c r="M8" s="419" t="s">
        <v>62</v>
      </c>
      <c r="N8" s="419"/>
      <c r="O8" s="419"/>
      <c r="P8" s="419"/>
      <c r="Q8" s="218" t="str">
        <f>VLOOKUP(F8,[1]参加チーム!$D$29:$F$35,2,FALSE)</f>
        <v>G6</v>
      </c>
      <c r="R8" s="420"/>
      <c r="S8" s="420"/>
      <c r="T8" s="210"/>
      <c r="U8" s="209"/>
      <c r="V8" s="209"/>
      <c r="W8" s="209"/>
      <c r="X8" s="192"/>
      <c r="Y8" s="192"/>
      <c r="Z8" s="192"/>
      <c r="AA8" s="192"/>
      <c r="AB8" s="179"/>
      <c r="AC8" s="208"/>
      <c r="AD8" s="207"/>
      <c r="AE8" s="207"/>
      <c r="AF8" s="205"/>
      <c r="AG8" s="206"/>
      <c r="AH8" s="205"/>
      <c r="AI8" s="191"/>
      <c r="AJ8" s="175"/>
      <c r="AK8" s="179"/>
      <c r="AL8" s="179"/>
      <c r="AM8" s="205"/>
      <c r="AN8" s="205"/>
      <c r="AO8" s="205"/>
      <c r="AP8" s="191"/>
      <c r="AQ8" s="179"/>
      <c r="AR8" s="204"/>
      <c r="AS8" s="203"/>
      <c r="AT8" s="190">
        <f>IF(F8="","",F8)</f>
        <v>7</v>
      </c>
      <c r="AU8" s="141"/>
      <c r="AV8" s="202"/>
      <c r="AW8" s="202"/>
      <c r="AX8" s="202"/>
      <c r="AY8" s="140"/>
    </row>
    <row r="9" spans="1:51" ht="20.25" customHeight="1" x14ac:dyDescent="0.15">
      <c r="A9" s="141"/>
      <c r="B9" s="179"/>
      <c r="C9" s="179"/>
      <c r="D9" s="182"/>
      <c r="E9" s="179"/>
      <c r="F9" s="539">
        <v>6</v>
      </c>
      <c r="G9" s="540" t="str">
        <f>Q9</f>
        <v>G7</v>
      </c>
      <c r="H9" s="417" t="str">
        <f>IF([1]参加チーム!$E$17=8,LEFT(VLOOKUP(F9,[1]参加チーム!$D$29:$F$36,3,FALSE),3),"")</f>
        <v>玖珂中</v>
      </c>
      <c r="I9" s="418"/>
      <c r="J9" s="418"/>
      <c r="K9" s="418"/>
      <c r="L9" s="418"/>
      <c r="M9" s="419" t="s">
        <v>62</v>
      </c>
      <c r="N9" s="419"/>
      <c r="O9" s="419"/>
      <c r="P9" s="419"/>
      <c r="Q9" s="218" t="str">
        <f>VLOOKUP(F9,[1]参加チーム!$D$29:$F$35,2,FALSE)</f>
        <v>G7</v>
      </c>
      <c r="R9" s="420"/>
      <c r="S9" s="420"/>
      <c r="T9" s="210"/>
      <c r="U9" s="209"/>
      <c r="V9" s="209"/>
      <c r="W9" s="209"/>
      <c r="X9" s="187"/>
      <c r="Y9" s="187"/>
      <c r="Z9" s="187"/>
      <c r="AA9" s="187"/>
      <c r="AB9" s="198">
        <v>7</v>
      </c>
      <c r="AC9" s="197"/>
      <c r="AD9" s="196"/>
      <c r="AE9" s="179"/>
      <c r="AF9" s="195">
        <v>4</v>
      </c>
      <c r="AG9" s="179"/>
      <c r="AH9" s="186"/>
      <c r="AI9" s="194">
        <v>6</v>
      </c>
      <c r="AJ9" s="175"/>
      <c r="AK9" s="193"/>
      <c r="AL9" s="191"/>
      <c r="AM9" s="191"/>
      <c r="AN9" s="191"/>
      <c r="AO9" s="191"/>
      <c r="AP9" s="191"/>
      <c r="AQ9" s="175"/>
      <c r="AR9" s="175"/>
      <c r="AS9" s="141"/>
      <c r="AT9" s="190">
        <f>IF(F9="","",F9)</f>
        <v>6</v>
      </c>
      <c r="AU9" s="141"/>
      <c r="AV9" s="202"/>
      <c r="AW9" s="202"/>
      <c r="AX9" s="202"/>
      <c r="AY9" s="140"/>
    </row>
    <row r="10" spans="1:51" ht="20.25" customHeight="1" x14ac:dyDescent="0.15">
      <c r="A10" s="141"/>
      <c r="B10" s="179"/>
      <c r="C10" s="179"/>
      <c r="D10" s="182"/>
      <c r="E10" s="179"/>
      <c r="F10" s="254"/>
      <c r="G10" s="254">
        <f>Q10</f>
        <v>0</v>
      </c>
      <c r="H10" s="251"/>
      <c r="I10" s="251"/>
      <c r="J10" s="251"/>
      <c r="K10" s="251"/>
      <c r="L10" s="251"/>
      <c r="M10" s="251"/>
      <c r="N10" s="251"/>
      <c r="O10" s="251"/>
      <c r="P10" s="250">
        <f>COUNTA(H6:L9)</f>
        <v>4</v>
      </c>
      <c r="Q10" s="510"/>
      <c r="R10" s="510"/>
      <c r="S10" s="510"/>
      <c r="T10" s="187"/>
      <c r="U10" s="187"/>
      <c r="V10" s="187"/>
      <c r="W10" s="179"/>
      <c r="X10" s="187"/>
      <c r="Y10" s="187"/>
      <c r="Z10" s="422" t="str">
        <f>VLOOKUP(AB9,$F$6:$Q$9,3,FALSE)</f>
        <v>磐梨中</v>
      </c>
      <c r="AA10" s="422"/>
      <c r="AB10" s="422"/>
      <c r="AC10" s="422"/>
      <c r="AD10" s="422"/>
      <c r="AE10" s="186"/>
      <c r="AF10" s="179"/>
      <c r="AG10" s="422" t="str">
        <f>VLOOKUP(AI9,$F$6:$Q$9,3,FALSE)</f>
        <v>玖珂中</v>
      </c>
      <c r="AH10" s="422"/>
      <c r="AI10" s="422"/>
      <c r="AJ10" s="422"/>
      <c r="AK10" s="422"/>
      <c r="AL10" s="207"/>
      <c r="AM10" s="193" t="str">
        <f>IF(P10=3,AT8,"")</f>
        <v/>
      </c>
      <c r="AN10" s="193"/>
      <c r="AO10" s="193"/>
      <c r="AP10" s="207"/>
      <c r="AQ10" s="249"/>
      <c r="AR10" s="175"/>
      <c r="AS10" s="141"/>
      <c r="AT10" s="141"/>
      <c r="AU10" s="141"/>
      <c r="AV10" s="141"/>
      <c r="AW10" s="141"/>
      <c r="AX10" s="141"/>
      <c r="AY10" s="140"/>
    </row>
    <row r="11" spans="1:51" ht="26.25" customHeight="1" x14ac:dyDescent="0.15">
      <c r="A11" s="141"/>
      <c r="B11" s="179"/>
      <c r="C11" s="179"/>
      <c r="D11" s="182"/>
      <c r="E11" s="179"/>
      <c r="F11" s="179"/>
      <c r="G11" s="179"/>
      <c r="H11" s="179"/>
      <c r="I11" s="175"/>
      <c r="J11" s="248" t="s">
        <v>66</v>
      </c>
      <c r="K11" s="248"/>
      <c r="L11" s="248"/>
      <c r="M11" s="248"/>
      <c r="N11" s="175"/>
      <c r="O11" s="189"/>
      <c r="P11" s="182"/>
      <c r="Q11" s="175"/>
      <c r="R11" s="179"/>
      <c r="S11" s="220"/>
      <c r="T11" s="189"/>
      <c r="U11" s="189"/>
      <c r="V11" s="246"/>
      <c r="W11" s="179"/>
      <c r="X11" s="179"/>
      <c r="Y11" s="247"/>
      <c r="Z11" s="182"/>
      <c r="AA11" s="182"/>
      <c r="AB11" s="179"/>
      <c r="AC11" s="179"/>
      <c r="AD11" s="179"/>
      <c r="AE11" s="192"/>
      <c r="AF11" s="245"/>
      <c r="AG11" s="179"/>
      <c r="AH11" s="179"/>
      <c r="AI11" s="179"/>
      <c r="AJ11" s="175"/>
      <c r="AK11" s="179"/>
      <c r="AL11" s="205"/>
      <c r="AM11" s="246"/>
      <c r="AN11" s="246"/>
      <c r="AO11" s="245"/>
      <c r="AP11" s="244"/>
      <c r="AQ11" s="204"/>
      <c r="AR11" s="243"/>
      <c r="AS11" s="141"/>
      <c r="AT11" s="141"/>
      <c r="AU11" s="141"/>
      <c r="AV11" s="141"/>
      <c r="AW11" s="141"/>
      <c r="AX11" s="141"/>
      <c r="AY11" s="140"/>
    </row>
    <row r="12" spans="1:51" ht="13.5" customHeight="1" x14ac:dyDescent="0.15">
      <c r="A12" s="141"/>
      <c r="B12" s="179"/>
      <c r="C12" s="179"/>
      <c r="D12" s="182"/>
      <c r="E12" s="179"/>
      <c r="F12" s="179"/>
      <c r="G12" s="179"/>
      <c r="H12" s="179"/>
      <c r="I12" s="175"/>
      <c r="J12" s="175"/>
      <c r="K12" s="189"/>
      <c r="L12" s="175"/>
      <c r="M12" s="175"/>
      <c r="N12" s="175"/>
      <c r="O12" s="189"/>
      <c r="P12" s="189"/>
      <c r="Q12" s="178"/>
      <c r="R12" s="178"/>
      <c r="S12" s="178"/>
      <c r="T12" s="188"/>
      <c r="U12" s="188"/>
      <c r="V12" s="178"/>
      <c r="W12" s="176"/>
      <c r="X12" s="176"/>
      <c r="Y12" s="181"/>
      <c r="Z12" s="181"/>
      <c r="AA12" s="181"/>
      <c r="AB12" s="180"/>
      <c r="AC12" s="179"/>
      <c r="AD12" s="179"/>
      <c r="AE12" s="241"/>
      <c r="AF12" s="241"/>
      <c r="AG12" s="241"/>
      <c r="AH12" s="185"/>
      <c r="AI12" s="185"/>
      <c r="AJ12" s="242"/>
      <c r="AK12" s="185"/>
      <c r="AL12" s="185"/>
      <c r="AM12" s="185"/>
      <c r="AN12" s="423"/>
      <c r="AO12" s="423"/>
      <c r="AP12" s="184"/>
      <c r="AQ12" s="183"/>
      <c r="AR12" s="174"/>
      <c r="AS12" s="141"/>
      <c r="AT12" s="141"/>
      <c r="AU12" s="141"/>
      <c r="AV12" s="141"/>
      <c r="AW12" s="141"/>
      <c r="AX12" s="141"/>
      <c r="AY12" s="140"/>
    </row>
    <row r="13" spans="1:51" ht="12" customHeight="1" x14ac:dyDescent="0.15">
      <c r="A13" s="141"/>
      <c r="B13" s="241"/>
      <c r="C13" s="179"/>
      <c r="D13" s="182"/>
      <c r="E13" s="179"/>
      <c r="F13" s="179"/>
      <c r="G13" s="179"/>
      <c r="H13" s="179"/>
      <c r="I13" s="179"/>
      <c r="J13" s="179"/>
      <c r="K13" s="182"/>
      <c r="L13" s="179"/>
      <c r="M13" s="179"/>
      <c r="N13" s="179"/>
      <c r="O13" s="182"/>
      <c r="P13" s="182"/>
      <c r="Q13" s="176"/>
      <c r="R13" s="176"/>
      <c r="S13" s="176"/>
      <c r="T13" s="181"/>
      <c r="U13" s="181"/>
      <c r="V13" s="176"/>
      <c r="W13" s="176"/>
      <c r="X13" s="176"/>
      <c r="Y13" s="181"/>
      <c r="Z13" s="181"/>
      <c r="AA13" s="181"/>
      <c r="AB13" s="180"/>
      <c r="AC13" s="179"/>
      <c r="AD13" s="179"/>
      <c r="AE13" s="177"/>
      <c r="AF13" s="177"/>
      <c r="AG13" s="177"/>
      <c r="AH13" s="176"/>
      <c r="AI13" s="176"/>
      <c r="AJ13" s="178"/>
      <c r="AK13" s="177"/>
      <c r="AL13" s="176"/>
      <c r="AM13" s="175"/>
      <c r="AN13" s="175"/>
      <c r="AO13" s="175"/>
      <c r="AP13" s="175"/>
      <c r="AQ13" s="175"/>
      <c r="AR13" s="174"/>
      <c r="AS13" s="141"/>
      <c r="AT13" s="141" t="s">
        <v>61</v>
      </c>
      <c r="AU13" s="141"/>
      <c r="AV13" s="173">
        <v>4</v>
      </c>
      <c r="AW13" s="509" t="s">
        <v>49</v>
      </c>
      <c r="AX13" s="509"/>
      <c r="AY13" s="140"/>
    </row>
    <row r="14" spans="1:51" x14ac:dyDescent="0.15">
      <c r="A14" s="172"/>
      <c r="B14" s="171" t="s">
        <v>60</v>
      </c>
      <c r="C14" s="412" t="s">
        <v>59</v>
      </c>
      <c r="D14" s="413"/>
      <c r="E14" s="413"/>
      <c r="F14" s="413"/>
      <c r="G14" s="413"/>
      <c r="H14" s="413"/>
      <c r="I14" s="413"/>
      <c r="J14" s="413"/>
      <c r="K14" s="413"/>
      <c r="L14" s="413"/>
      <c r="M14" s="413"/>
      <c r="N14" s="170" t="s">
        <v>58</v>
      </c>
      <c r="O14" s="169"/>
      <c r="P14" s="169"/>
      <c r="Q14" s="170"/>
      <c r="R14" s="170" t="s">
        <v>39</v>
      </c>
      <c r="S14" s="170"/>
      <c r="T14" s="169"/>
      <c r="U14" s="169"/>
      <c r="V14" s="170"/>
      <c r="W14" s="170"/>
      <c r="X14" s="170"/>
      <c r="Y14" s="169"/>
      <c r="Z14" s="169"/>
      <c r="AA14" s="169"/>
      <c r="AB14" s="413" t="s">
        <v>87</v>
      </c>
      <c r="AC14" s="413"/>
      <c r="AD14" s="413"/>
      <c r="AE14" s="413"/>
      <c r="AF14" s="413"/>
      <c r="AG14" s="168"/>
      <c r="AH14" s="167" t="s">
        <v>49</v>
      </c>
      <c r="AI14" s="167"/>
      <c r="AJ14" s="168"/>
      <c r="AK14" s="167"/>
      <c r="AL14" s="167"/>
      <c r="AM14" s="413" t="s">
        <v>87</v>
      </c>
      <c r="AN14" s="413"/>
      <c r="AO14" s="413"/>
      <c r="AP14" s="413"/>
      <c r="AQ14" s="413"/>
      <c r="AR14" s="436"/>
      <c r="AS14" s="166"/>
      <c r="AT14" s="141" t="s">
        <v>88</v>
      </c>
      <c r="AU14" s="165" t="s">
        <v>89</v>
      </c>
      <c r="AV14" s="141"/>
      <c r="AW14" s="141" t="s">
        <v>56</v>
      </c>
      <c r="AX14" s="141" t="s">
        <v>55</v>
      </c>
      <c r="AY14" s="140"/>
    </row>
    <row r="15" spans="1:51" ht="14.25" customHeight="1" x14ac:dyDescent="0.15">
      <c r="A15" s="159"/>
      <c r="B15" s="158">
        <f>[1]参加チーム!$J$5</f>
        <v>43672</v>
      </c>
      <c r="C15" s="437" t="str">
        <f>IF(MOD(N15,2)=0,"B","A")&amp;"　コート"</f>
        <v>A　コート</v>
      </c>
      <c r="D15" s="438"/>
      <c r="E15" s="438"/>
      <c r="F15" s="438"/>
      <c r="G15" s="438"/>
      <c r="H15" s="438"/>
      <c r="I15" s="438"/>
      <c r="J15" s="438"/>
      <c r="K15" s="438"/>
      <c r="L15" s="438"/>
      <c r="M15" s="438"/>
      <c r="N15" s="441">
        <v>3</v>
      </c>
      <c r="O15" s="441"/>
      <c r="P15" s="441"/>
      <c r="Q15" s="443" t="str">
        <f>VLOOKUP(N15,[1]リスト!$C$2:$F$34,2,FALSE)</f>
        <v>14：40</v>
      </c>
      <c r="R15" s="443"/>
      <c r="S15" s="443"/>
      <c r="T15" s="443"/>
      <c r="U15" s="445" t="s">
        <v>82</v>
      </c>
      <c r="V15" s="445"/>
      <c r="W15" s="447"/>
      <c r="X15" s="447"/>
      <c r="Y15" s="447"/>
      <c r="Z15" s="447"/>
      <c r="AA15" s="449">
        <f>IF($P$10=4,AT15,"")</f>
        <v>1</v>
      </c>
      <c r="AB15" s="451" t="str">
        <f>VLOOKUP(AT15,$F$6:$Q$9,12,FALSE)</f>
        <v>G1</v>
      </c>
      <c r="AC15" s="424" t="str">
        <f>IF([1]参加チーム!$E$17=8,LEFT(VLOOKUP($N15,[1]参加チーム!$J$21:$Q$56,5,FALSE),3),"")</f>
        <v>八頭中</v>
      </c>
      <c r="AD15" s="424" t="str">
        <f>IF($P$9=3,VLOOKUP(AC15,$G$6:$S$9,2,FALSE),"")</f>
        <v/>
      </c>
      <c r="AE15" s="424" t="str">
        <f>IF($P$9=3,VLOOKUP(AD15,$G$6:$S$9,2,FALSE),"")</f>
        <v/>
      </c>
      <c r="AF15" s="424" t="str">
        <f>IF($P$9=3,VLOOKUP(AE15,$G$6:$S$9,2,FALSE),"")</f>
        <v/>
      </c>
      <c r="AG15" s="424" t="str">
        <f>IF($P$9=3,VLOOKUP(AF15,$G$6:$S$9,2,FALSE),"")</f>
        <v/>
      </c>
      <c r="AH15" s="426">
        <f>IF(AI15="","",SUM(AI15:AI16))</f>
        <v>6</v>
      </c>
      <c r="AI15" s="156">
        <f>IF(日程・対戦記録表!Q10="","",日程・対戦記録表!Q10)</f>
        <v>1</v>
      </c>
      <c r="AJ15" s="157" t="s">
        <v>95</v>
      </c>
      <c r="AK15" s="240">
        <f>IF(日程・対戦記録表!R10="","",日程・対戦記録表!R10)</f>
        <v>0</v>
      </c>
      <c r="AL15" s="428">
        <f>IF(AK15="","",SUM(AK15:AK16))</f>
        <v>0</v>
      </c>
      <c r="AM15" s="430" t="str">
        <f>IF([1]参加チーム!$E$17=8,LEFT(VLOOKUP($N15,[1]参加チーム!$J$21:$Q$56,8,FALSE),3),"")</f>
        <v>仁多中</v>
      </c>
      <c r="AN15" s="430" t="str">
        <f>IF($P$9=3,VLOOKUP(AM15,$G$6:$S$9,2,FALSE),"")</f>
        <v/>
      </c>
      <c r="AO15" s="430" t="str">
        <f>IF($P$9=3,VLOOKUP(AN15,$G$6:$S$9,2,FALSE),"")</f>
        <v/>
      </c>
      <c r="AP15" s="430" t="str">
        <f>IF($P$9=3,VLOOKUP(AO15,$G$6:$S$9,2,FALSE),"")</f>
        <v/>
      </c>
      <c r="AQ15" s="430" t="str">
        <f>IF($P$9=3,VLOOKUP(AP15,$G$6:$S$9,2,FALSE),"")</f>
        <v/>
      </c>
      <c r="AR15" s="432" t="str">
        <f>VLOOKUP(AU15,$F$6:$Q$9,12,FALSE)</f>
        <v>G4</v>
      </c>
      <c r="AS15" s="434">
        <f>IF($P$10=4,AU15,"")</f>
        <v>3</v>
      </c>
      <c r="AT15" s="164">
        <v>1</v>
      </c>
      <c r="AU15" s="163">
        <v>3</v>
      </c>
      <c r="AV15" s="155" t="str">
        <f>AT15&amp;AU15</f>
        <v>13</v>
      </c>
      <c r="AW15" s="155">
        <f>IF(AI15="","",AI15)</f>
        <v>1</v>
      </c>
      <c r="AX15" s="155">
        <f>IF(AI16="","",AI16)</f>
        <v>5</v>
      </c>
      <c r="AY15" s="140"/>
    </row>
    <row r="16" spans="1:51" ht="13.5" customHeight="1" x14ac:dyDescent="0.15">
      <c r="A16" s="154" t="str">
        <f>IF(A15="","",WEEKDAY(A15))</f>
        <v/>
      </c>
      <c r="B16" s="160">
        <f>IF(B15="","",WEEKDAY(B15))</f>
        <v>6</v>
      </c>
      <c r="C16" s="439"/>
      <c r="D16" s="440"/>
      <c r="E16" s="440"/>
      <c r="F16" s="440"/>
      <c r="G16" s="440"/>
      <c r="H16" s="440"/>
      <c r="I16" s="440"/>
      <c r="J16" s="440"/>
      <c r="K16" s="440"/>
      <c r="L16" s="440"/>
      <c r="M16" s="440"/>
      <c r="N16" s="442"/>
      <c r="O16" s="442"/>
      <c r="P16" s="442"/>
      <c r="Q16" s="444"/>
      <c r="R16" s="444"/>
      <c r="S16" s="444"/>
      <c r="T16" s="444"/>
      <c r="U16" s="446"/>
      <c r="V16" s="446"/>
      <c r="W16" s="448"/>
      <c r="X16" s="448"/>
      <c r="Y16" s="448"/>
      <c r="Z16" s="448"/>
      <c r="AA16" s="450"/>
      <c r="AB16" s="452"/>
      <c r="AC16" s="425"/>
      <c r="AD16" s="425"/>
      <c r="AE16" s="425"/>
      <c r="AF16" s="425"/>
      <c r="AG16" s="425"/>
      <c r="AH16" s="427"/>
      <c r="AI16" s="151">
        <f>IF(日程・対戦記録表!Q11="","",日程・対戦記録表!Q11)</f>
        <v>5</v>
      </c>
      <c r="AJ16" s="152" t="s">
        <v>95</v>
      </c>
      <c r="AK16" s="239">
        <f>IF(日程・対戦記録表!R11="","",日程・対戦記録表!R11)</f>
        <v>0</v>
      </c>
      <c r="AL16" s="429"/>
      <c r="AM16" s="431"/>
      <c r="AN16" s="431"/>
      <c r="AO16" s="431"/>
      <c r="AP16" s="431"/>
      <c r="AQ16" s="431"/>
      <c r="AR16" s="433"/>
      <c r="AS16" s="435"/>
      <c r="AT16" s="162"/>
      <c r="AU16" s="161"/>
      <c r="AV16" s="149" t="str">
        <f>AU15&amp;AT15</f>
        <v>31</v>
      </c>
      <c r="AW16" s="149">
        <f>IF(AK15="","",AK15)</f>
        <v>0</v>
      </c>
      <c r="AX16" s="149">
        <f>IF(AK16="","",AK16)</f>
        <v>0</v>
      </c>
      <c r="AY16" s="140"/>
    </row>
    <row r="17" spans="1:51" ht="13.5" customHeight="1" x14ac:dyDescent="0.15">
      <c r="A17" s="159"/>
      <c r="B17" s="158">
        <f>[1]参加チーム!$J$5</f>
        <v>43672</v>
      </c>
      <c r="C17" s="437" t="str">
        <f>IF(MOD(N17,2)=0,"B","A")&amp;"　コート"</f>
        <v>B　コート</v>
      </c>
      <c r="D17" s="438"/>
      <c r="E17" s="438"/>
      <c r="F17" s="438"/>
      <c r="G17" s="438"/>
      <c r="H17" s="438"/>
      <c r="I17" s="438"/>
      <c r="J17" s="438"/>
      <c r="K17" s="438"/>
      <c r="L17" s="438"/>
      <c r="M17" s="438"/>
      <c r="N17" s="441">
        <v>4</v>
      </c>
      <c r="O17" s="441"/>
      <c r="P17" s="441"/>
      <c r="Q17" s="443" t="str">
        <f>VLOOKUP(N17,[1]リスト!$C$2:$F$34,2,FALSE)</f>
        <v>14：40</v>
      </c>
      <c r="R17" s="443"/>
      <c r="S17" s="443"/>
      <c r="T17" s="443"/>
      <c r="U17" s="445" t="s">
        <v>93</v>
      </c>
      <c r="V17" s="445"/>
      <c r="W17" s="447"/>
      <c r="X17" s="447"/>
      <c r="Y17" s="447"/>
      <c r="Z17" s="447"/>
      <c r="AA17" s="449">
        <f>IF($P$10=4,AT17,"")</f>
        <v>7</v>
      </c>
      <c r="AB17" s="451" t="str">
        <f>VLOOKUP(AT17,$F$6:$Q$9,12,FALSE)</f>
        <v>G6</v>
      </c>
      <c r="AC17" s="424" t="str">
        <f>IF([1]参加チーム!$E$17=8,LEFT(VLOOKUP($N17,[1]参加チーム!$J$21:$Q$56,5,FALSE),3),"")</f>
        <v>磐梨中</v>
      </c>
      <c r="AD17" s="424" t="str">
        <f>IF($P$9=3,VLOOKUP(AC17,$G$6:$S$9,2,FALSE),"")</f>
        <v/>
      </c>
      <c r="AE17" s="424" t="str">
        <f>IF($P$9=3,VLOOKUP(AD17,$G$6:$S$9,2,FALSE),"")</f>
        <v/>
      </c>
      <c r="AF17" s="424" t="str">
        <f>IF($P$9=3,VLOOKUP(AE17,$G$6:$S$9,2,FALSE),"")</f>
        <v/>
      </c>
      <c r="AG17" s="424" t="str">
        <f>IF($P$9=3,VLOOKUP(AF17,$G$6:$S$9,2,FALSE),"")</f>
        <v/>
      </c>
      <c r="AH17" s="426">
        <f>IF(AI17="","",SUM(AI17:AI18))</f>
        <v>0</v>
      </c>
      <c r="AI17" s="156">
        <f>IF(日程・対戦記録表!AH10="","",日程・対戦記録表!AH10)</f>
        <v>0</v>
      </c>
      <c r="AJ17" s="157" t="s">
        <v>94</v>
      </c>
      <c r="AK17" s="240">
        <f>IF(日程・対戦記録表!AI10="","",日程・対戦記録表!AI10)</f>
        <v>4</v>
      </c>
      <c r="AL17" s="428">
        <f>IF(AK17="","",SUM(AK17:AK18))</f>
        <v>5</v>
      </c>
      <c r="AM17" s="430" t="str">
        <f>IF([1]参加チーム!$E$17=8,LEFT(VLOOKUP($N17,[1]参加チーム!$J$21:$Q$56,8,FALSE),3),"")</f>
        <v>玖珂中</v>
      </c>
      <c r="AN17" s="430" t="str">
        <f>IF($P$9=3,VLOOKUP(AM17,$G$6:$S$9,2,FALSE),"")</f>
        <v/>
      </c>
      <c r="AO17" s="430" t="str">
        <f>IF($P$9=3,VLOOKUP(AN17,$G$6:$S$9,2,FALSE),"")</f>
        <v/>
      </c>
      <c r="AP17" s="430" t="str">
        <f>IF($P$9=3,VLOOKUP(AO17,$G$6:$S$9,2,FALSE),"")</f>
        <v/>
      </c>
      <c r="AQ17" s="430" t="str">
        <f>IF($P$9=3,VLOOKUP(AP17,$G$6:$S$9,2,FALSE),"")</f>
        <v/>
      </c>
      <c r="AR17" s="432" t="str">
        <f>VLOOKUP(AU17,$F$6:$Q$9,12,FALSE)</f>
        <v>G7</v>
      </c>
      <c r="AS17" s="434">
        <f>IF($P$10=4,AU17,"")</f>
        <v>6</v>
      </c>
      <c r="AT17" s="150">
        <v>7</v>
      </c>
      <c r="AU17" s="150">
        <v>6</v>
      </c>
      <c r="AV17" s="141" t="str">
        <f>AT17&amp;AU17</f>
        <v>76</v>
      </c>
      <c r="AW17" s="155">
        <f>IF(AI17="","",AI17)</f>
        <v>0</v>
      </c>
      <c r="AX17" s="155">
        <f>IF(AI18="","",AI18)</f>
        <v>0</v>
      </c>
      <c r="AY17" s="140"/>
    </row>
    <row r="18" spans="1:51" ht="13.5" customHeight="1" x14ac:dyDescent="0.15">
      <c r="A18" s="154" t="str">
        <f>IF(A17="","",WEEKDAY(A17))</f>
        <v/>
      </c>
      <c r="B18" s="160">
        <f>IF(B17="","",WEEKDAY(B17))</f>
        <v>6</v>
      </c>
      <c r="C18" s="439"/>
      <c r="D18" s="440"/>
      <c r="E18" s="440"/>
      <c r="F18" s="440"/>
      <c r="G18" s="440"/>
      <c r="H18" s="440"/>
      <c r="I18" s="440"/>
      <c r="J18" s="440"/>
      <c r="K18" s="440"/>
      <c r="L18" s="440"/>
      <c r="M18" s="440"/>
      <c r="N18" s="442"/>
      <c r="O18" s="442"/>
      <c r="P18" s="442"/>
      <c r="Q18" s="444"/>
      <c r="R18" s="444"/>
      <c r="S18" s="444"/>
      <c r="T18" s="444"/>
      <c r="U18" s="446"/>
      <c r="V18" s="446"/>
      <c r="W18" s="448"/>
      <c r="X18" s="448"/>
      <c r="Y18" s="448"/>
      <c r="Z18" s="448"/>
      <c r="AA18" s="450"/>
      <c r="AB18" s="452"/>
      <c r="AC18" s="425"/>
      <c r="AD18" s="425"/>
      <c r="AE18" s="425"/>
      <c r="AF18" s="425"/>
      <c r="AG18" s="425"/>
      <c r="AH18" s="427"/>
      <c r="AI18" s="151">
        <f>IF(日程・対戦記録表!AH11="","",日程・対戦記録表!AH11)</f>
        <v>0</v>
      </c>
      <c r="AJ18" s="152" t="s">
        <v>94</v>
      </c>
      <c r="AK18" s="239">
        <f>IF(日程・対戦記録表!AI11="","",日程・対戦記録表!AI11)</f>
        <v>1</v>
      </c>
      <c r="AL18" s="429"/>
      <c r="AM18" s="431"/>
      <c r="AN18" s="431"/>
      <c r="AO18" s="431"/>
      <c r="AP18" s="431"/>
      <c r="AQ18" s="431"/>
      <c r="AR18" s="433"/>
      <c r="AS18" s="435"/>
      <c r="AT18" s="150"/>
      <c r="AU18" s="150"/>
      <c r="AV18" s="141" t="str">
        <f>AU17&amp;AT17</f>
        <v>67</v>
      </c>
      <c r="AW18" s="149">
        <f>IF(AK17="","",AK17)</f>
        <v>4</v>
      </c>
      <c r="AX18" s="149">
        <f>IF(AK18="","",AK18)</f>
        <v>1</v>
      </c>
      <c r="AY18" s="140"/>
    </row>
    <row r="19" spans="1:51" ht="13.5" customHeight="1" x14ac:dyDescent="0.15">
      <c r="A19" s="159"/>
      <c r="B19" s="158">
        <f>[1]参加チーム!$J$5+1</f>
        <v>43673</v>
      </c>
      <c r="C19" s="437" t="str">
        <f>IF(MOD(N19,2)=0,"B","A")&amp;"　コート"</f>
        <v>A　コート</v>
      </c>
      <c r="D19" s="438"/>
      <c r="E19" s="438"/>
      <c r="F19" s="438"/>
      <c r="G19" s="438"/>
      <c r="H19" s="438"/>
      <c r="I19" s="438"/>
      <c r="J19" s="438"/>
      <c r="K19" s="438"/>
      <c r="L19" s="438"/>
      <c r="M19" s="438"/>
      <c r="N19" s="441">
        <v>11</v>
      </c>
      <c r="O19" s="441"/>
      <c r="P19" s="441"/>
      <c r="Q19" s="443" t="str">
        <f>VLOOKUP(N19,[1]リスト!$C$2:$F$34,2,FALSE)</f>
        <v>10：40</v>
      </c>
      <c r="R19" s="443"/>
      <c r="S19" s="443"/>
      <c r="T19" s="443"/>
      <c r="U19" s="445" t="s">
        <v>82</v>
      </c>
      <c r="V19" s="445"/>
      <c r="W19" s="447"/>
      <c r="X19" s="447"/>
      <c r="Y19" s="447"/>
      <c r="Z19" s="447"/>
      <c r="AA19" s="449">
        <f>IF($P$10=4,AT19,"")</f>
        <v>3</v>
      </c>
      <c r="AB19" s="451" t="str">
        <f>VLOOKUP(AT19,$F$6:$Q$9,12,FALSE)</f>
        <v>G4</v>
      </c>
      <c r="AC19" s="424" t="str">
        <f>IF([1]参加チーム!$E$17=8,LEFT(VLOOKUP($N19,[1]参加チーム!$J$21:$Q$56,5,FALSE),3),"")</f>
        <v>仁多中</v>
      </c>
      <c r="AD19" s="424" t="str">
        <f>IF($P$9=3,VLOOKUP(AC19,$G$6:$S$9,2,FALSE),"")</f>
        <v/>
      </c>
      <c r="AE19" s="424" t="str">
        <f>IF($P$9=3,VLOOKUP(AD19,$G$6:$S$9,2,FALSE),"")</f>
        <v/>
      </c>
      <c r="AF19" s="424" t="str">
        <f>IF($P$9=3,VLOOKUP(AE19,$G$6:$S$9,2,FALSE),"")</f>
        <v/>
      </c>
      <c r="AG19" s="424" t="str">
        <f>IF($P$9=3,VLOOKUP(AF19,$G$6:$S$9,2,FALSE),"")</f>
        <v/>
      </c>
      <c r="AH19" s="426">
        <f>IF(AI19="","",SUM(AI19:AI20))</f>
        <v>0</v>
      </c>
      <c r="AI19" s="156">
        <f>IF(日程・対戦記録表!Q23="","",日程・対戦記録表!Q23)</f>
        <v>0</v>
      </c>
      <c r="AJ19" s="157" t="s">
        <v>95</v>
      </c>
      <c r="AK19" s="240">
        <f>IF(日程・対戦記録表!R23="","",日程・対戦記録表!R23)</f>
        <v>2</v>
      </c>
      <c r="AL19" s="428">
        <f>IF(AK19="","",SUM(AK19:AK20))</f>
        <v>4</v>
      </c>
      <c r="AM19" s="430" t="str">
        <f>IF([1]参加チーム!$E$17=8,LEFT(VLOOKUP($N19,[1]参加チーム!$J$21:$Q$56,8,FALSE),3),"")</f>
        <v>磐梨中</v>
      </c>
      <c r="AN19" s="430" t="str">
        <f>IF($P$9=3,VLOOKUP(AM19,$G$6:$S$9,2,FALSE),"")</f>
        <v/>
      </c>
      <c r="AO19" s="430" t="str">
        <f>IF($P$9=3,VLOOKUP(AN19,$G$6:$S$9,2,FALSE),"")</f>
        <v/>
      </c>
      <c r="AP19" s="430" t="str">
        <f>IF($P$9=3,VLOOKUP(AO19,$G$6:$S$9,2,FALSE),"")</f>
        <v/>
      </c>
      <c r="AQ19" s="430" t="str">
        <f>IF($P$9=3,VLOOKUP(AP19,$G$6:$S$9,2,FALSE),"")</f>
        <v/>
      </c>
      <c r="AR19" s="432" t="str">
        <f>VLOOKUP(AU19,$F$6:$Q$9,12,FALSE)</f>
        <v>G6</v>
      </c>
      <c r="AS19" s="434">
        <f>IF($P$10=4,AU19,"")</f>
        <v>7</v>
      </c>
      <c r="AT19" s="150">
        <v>3</v>
      </c>
      <c r="AU19" s="150">
        <v>7</v>
      </c>
      <c r="AV19" s="141" t="str">
        <f>AT19&amp;AU19</f>
        <v>37</v>
      </c>
      <c r="AW19" s="155">
        <f>IF(AI19="","",AI19)</f>
        <v>0</v>
      </c>
      <c r="AX19" s="155">
        <f>IF(AI20="","",AI20)</f>
        <v>0</v>
      </c>
      <c r="AY19" s="140"/>
    </row>
    <row r="20" spans="1:51" ht="13.5" customHeight="1" x14ac:dyDescent="0.15">
      <c r="A20" s="154" t="str">
        <f>IF(A19="","",WEEKDAY(A19))</f>
        <v/>
      </c>
      <c r="B20" s="160">
        <f>IF(B19="","",WEEKDAY(B19))</f>
        <v>7</v>
      </c>
      <c r="C20" s="439"/>
      <c r="D20" s="440"/>
      <c r="E20" s="440"/>
      <c r="F20" s="440"/>
      <c r="G20" s="440"/>
      <c r="H20" s="440"/>
      <c r="I20" s="440"/>
      <c r="J20" s="440"/>
      <c r="K20" s="440"/>
      <c r="L20" s="440"/>
      <c r="M20" s="440"/>
      <c r="N20" s="442"/>
      <c r="O20" s="442"/>
      <c r="P20" s="442"/>
      <c r="Q20" s="444"/>
      <c r="R20" s="444"/>
      <c r="S20" s="444"/>
      <c r="T20" s="444"/>
      <c r="U20" s="446"/>
      <c r="V20" s="446"/>
      <c r="W20" s="448"/>
      <c r="X20" s="448"/>
      <c r="Y20" s="448"/>
      <c r="Z20" s="448"/>
      <c r="AA20" s="450"/>
      <c r="AB20" s="452"/>
      <c r="AC20" s="425"/>
      <c r="AD20" s="425"/>
      <c r="AE20" s="425"/>
      <c r="AF20" s="425"/>
      <c r="AG20" s="425"/>
      <c r="AH20" s="427"/>
      <c r="AI20" s="151">
        <f>IF(日程・対戦記録表!Q24="","",日程・対戦記録表!Q24)</f>
        <v>0</v>
      </c>
      <c r="AJ20" s="152" t="s">
        <v>95</v>
      </c>
      <c r="AK20" s="239">
        <f>IF(日程・対戦記録表!R24="","",日程・対戦記録表!R24)</f>
        <v>2</v>
      </c>
      <c r="AL20" s="429"/>
      <c r="AM20" s="431"/>
      <c r="AN20" s="431"/>
      <c r="AO20" s="431"/>
      <c r="AP20" s="431"/>
      <c r="AQ20" s="431"/>
      <c r="AR20" s="433"/>
      <c r="AS20" s="435"/>
      <c r="AT20" s="150"/>
      <c r="AU20" s="150"/>
      <c r="AV20" s="141" t="str">
        <f>AU19&amp;AT19</f>
        <v>73</v>
      </c>
      <c r="AW20" s="149">
        <f>IF(AK19="","",AK19)</f>
        <v>2</v>
      </c>
      <c r="AX20" s="149">
        <f>IF(AK20="","",AK20)</f>
        <v>2</v>
      </c>
      <c r="AY20" s="140"/>
    </row>
    <row r="21" spans="1:51" ht="13.5" customHeight="1" x14ac:dyDescent="0.15">
      <c r="A21" s="159"/>
      <c r="B21" s="158">
        <f>[1]参加チーム!$J$5+1</f>
        <v>43673</v>
      </c>
      <c r="C21" s="437" t="str">
        <f>IF(MOD(N21,2)=0,"B","A")&amp;"　コート"</f>
        <v>B　コート</v>
      </c>
      <c r="D21" s="438"/>
      <c r="E21" s="438"/>
      <c r="F21" s="438"/>
      <c r="G21" s="438"/>
      <c r="H21" s="438"/>
      <c r="I21" s="438"/>
      <c r="J21" s="438"/>
      <c r="K21" s="438"/>
      <c r="L21" s="438"/>
      <c r="M21" s="438"/>
      <c r="N21" s="441">
        <v>12</v>
      </c>
      <c r="O21" s="441"/>
      <c r="P21" s="441"/>
      <c r="Q21" s="443" t="str">
        <f>VLOOKUP(N21,[1]リスト!$C$2:$F$34,2,FALSE)</f>
        <v>10：40</v>
      </c>
      <c r="R21" s="443"/>
      <c r="S21" s="443"/>
      <c r="T21" s="443"/>
      <c r="U21" s="445" t="s">
        <v>82</v>
      </c>
      <c r="V21" s="445"/>
      <c r="W21" s="447"/>
      <c r="X21" s="447"/>
      <c r="Y21" s="447"/>
      <c r="Z21" s="447"/>
      <c r="AA21" s="449">
        <f>IF($P$10=4,AT21,"")</f>
        <v>1</v>
      </c>
      <c r="AB21" s="451" t="str">
        <f>VLOOKUP(AT21,$F$6:$Q$9,12,FALSE)</f>
        <v>G1</v>
      </c>
      <c r="AC21" s="424" t="str">
        <f>IF([1]参加チーム!$E$17=8,LEFT(VLOOKUP($N21,[1]参加チーム!$J$21:$Q$56,5,FALSE),3),"")</f>
        <v>八頭中</v>
      </c>
      <c r="AD21" s="424" t="str">
        <f>IF($P$9=3,VLOOKUP(AC21,$G$6:$S$9,2,FALSE),"")</f>
        <v/>
      </c>
      <c r="AE21" s="424" t="str">
        <f>IF($P$9=3,VLOOKUP(AD21,$G$6:$S$9,2,FALSE),"")</f>
        <v/>
      </c>
      <c r="AF21" s="424" t="str">
        <f>IF($P$9=3,VLOOKUP(AE21,$G$6:$S$9,2,FALSE),"")</f>
        <v/>
      </c>
      <c r="AG21" s="424" t="str">
        <f>IF($P$9=3,VLOOKUP(AF21,$G$6:$S$9,2,FALSE),"")</f>
        <v/>
      </c>
      <c r="AH21" s="426">
        <f>IF(AI21="","",SUM(AI21:AI22))</f>
        <v>2</v>
      </c>
      <c r="AI21" s="156">
        <f>IF(日程・対戦記録表!AH23="","",日程・対戦記録表!AH23)</f>
        <v>2</v>
      </c>
      <c r="AJ21" s="157" t="s">
        <v>95</v>
      </c>
      <c r="AK21" s="240">
        <f>IF(日程・対戦記録表!AI23="","",日程・対戦記録表!AI23)</f>
        <v>3</v>
      </c>
      <c r="AL21" s="428">
        <f>IF(AK21="","",SUM(AK21:AK22))</f>
        <v>3</v>
      </c>
      <c r="AM21" s="430" t="str">
        <f>IF([1]参加チーム!$E$17=8,LEFT(VLOOKUP($N21,[1]参加チーム!$J$21:$Q$56,8,FALSE),3),"")</f>
        <v>玖珂中</v>
      </c>
      <c r="AN21" s="430" t="str">
        <f>IF($P$9=3,VLOOKUP(AM21,$G$6:$S$9,2,FALSE),"")</f>
        <v/>
      </c>
      <c r="AO21" s="430" t="str">
        <f>IF($P$9=3,VLOOKUP(AN21,$G$6:$S$9,2,FALSE),"")</f>
        <v/>
      </c>
      <c r="AP21" s="430" t="str">
        <f>IF($P$9=3,VLOOKUP(AO21,$G$6:$S$9,2,FALSE),"")</f>
        <v/>
      </c>
      <c r="AQ21" s="430" t="str">
        <f>IF($P$9=3,VLOOKUP(AP21,$G$6:$S$9,2,FALSE),"")</f>
        <v/>
      </c>
      <c r="AR21" s="432" t="str">
        <f>VLOOKUP(AU21,$F$6:$Q$9,12,FALSE)</f>
        <v>G7</v>
      </c>
      <c r="AS21" s="434">
        <f>IF($P$10=4,AU21,"")</f>
        <v>6</v>
      </c>
      <c r="AT21" s="150">
        <v>1</v>
      </c>
      <c r="AU21" s="150">
        <v>6</v>
      </c>
      <c r="AV21" s="141" t="str">
        <f>AT21&amp;AU21</f>
        <v>16</v>
      </c>
      <c r="AW21" s="155">
        <f>IF(AI21="","",AI21)</f>
        <v>2</v>
      </c>
      <c r="AX21" s="155">
        <f>IF(AI22="","",AI22)</f>
        <v>0</v>
      </c>
      <c r="AY21" s="140"/>
    </row>
    <row r="22" spans="1:51" ht="13.5" customHeight="1" x14ac:dyDescent="0.15">
      <c r="A22" s="154" t="str">
        <f>IF(A21="","",WEEKDAY(A21))</f>
        <v/>
      </c>
      <c r="B22" s="160">
        <f>IF(B21="","",WEEKDAY(B21))</f>
        <v>7</v>
      </c>
      <c r="C22" s="439"/>
      <c r="D22" s="440"/>
      <c r="E22" s="440"/>
      <c r="F22" s="440"/>
      <c r="G22" s="440"/>
      <c r="H22" s="440"/>
      <c r="I22" s="440"/>
      <c r="J22" s="440"/>
      <c r="K22" s="440"/>
      <c r="L22" s="440"/>
      <c r="M22" s="440"/>
      <c r="N22" s="442"/>
      <c r="O22" s="442"/>
      <c r="P22" s="442"/>
      <c r="Q22" s="444"/>
      <c r="R22" s="444"/>
      <c r="S22" s="444"/>
      <c r="T22" s="444"/>
      <c r="U22" s="446"/>
      <c r="V22" s="446"/>
      <c r="W22" s="448"/>
      <c r="X22" s="448"/>
      <c r="Y22" s="448"/>
      <c r="Z22" s="448"/>
      <c r="AA22" s="450"/>
      <c r="AB22" s="452"/>
      <c r="AC22" s="425"/>
      <c r="AD22" s="425"/>
      <c r="AE22" s="425"/>
      <c r="AF22" s="425"/>
      <c r="AG22" s="425"/>
      <c r="AH22" s="427"/>
      <c r="AI22" s="151">
        <f>IF(日程・対戦記録表!AH24="","",日程・対戦記録表!AH24)</f>
        <v>0</v>
      </c>
      <c r="AJ22" s="152" t="s">
        <v>95</v>
      </c>
      <c r="AK22" s="239">
        <f>IF(日程・対戦記録表!AI24="","",日程・対戦記録表!AI24)</f>
        <v>0</v>
      </c>
      <c r="AL22" s="429"/>
      <c r="AM22" s="431"/>
      <c r="AN22" s="431"/>
      <c r="AO22" s="431"/>
      <c r="AP22" s="431"/>
      <c r="AQ22" s="431"/>
      <c r="AR22" s="433"/>
      <c r="AS22" s="435"/>
      <c r="AT22" s="150"/>
      <c r="AU22" s="150"/>
      <c r="AV22" s="141" t="str">
        <f>AU21&amp;AT21</f>
        <v>61</v>
      </c>
      <c r="AW22" s="149">
        <f>IF(AK21="","",AK21)</f>
        <v>3</v>
      </c>
      <c r="AX22" s="149">
        <f>IF(AK22="","",AK22)</f>
        <v>0</v>
      </c>
      <c r="AY22" s="140"/>
    </row>
    <row r="23" spans="1:51" ht="13.5" customHeight="1" x14ac:dyDescent="0.15">
      <c r="A23" s="159"/>
      <c r="B23" s="158">
        <f>[1]参加チーム!$J$5+1</f>
        <v>43673</v>
      </c>
      <c r="C23" s="437" t="str">
        <f>IF(MOD(N23,2)=0,"B","A")&amp;"　コート"</f>
        <v>A　コート</v>
      </c>
      <c r="D23" s="438"/>
      <c r="E23" s="438"/>
      <c r="F23" s="438"/>
      <c r="G23" s="438"/>
      <c r="H23" s="438"/>
      <c r="I23" s="438"/>
      <c r="J23" s="438"/>
      <c r="K23" s="438"/>
      <c r="L23" s="438"/>
      <c r="M23" s="438"/>
      <c r="N23" s="441">
        <v>19</v>
      </c>
      <c r="O23" s="441"/>
      <c r="P23" s="441"/>
      <c r="Q23" s="443" t="str">
        <f>VLOOKUP(N23,[1]リスト!$C$2:$F$34,2,FALSE)</f>
        <v>13:40</v>
      </c>
      <c r="R23" s="443"/>
      <c r="S23" s="443"/>
      <c r="T23" s="443"/>
      <c r="U23" s="445" t="s">
        <v>7</v>
      </c>
      <c r="V23" s="445"/>
      <c r="W23" s="447"/>
      <c r="X23" s="447"/>
      <c r="Y23" s="447"/>
      <c r="Z23" s="447"/>
      <c r="AA23" s="449">
        <f>IF($P$10=4,AT23,"")</f>
        <v>3</v>
      </c>
      <c r="AB23" s="451" t="str">
        <f>VLOOKUP(AT23,$F$6:$Q$9,12,FALSE)</f>
        <v>G4</v>
      </c>
      <c r="AC23" s="424" t="str">
        <f>IF([1]参加チーム!$E$17=8,LEFT(VLOOKUP($N23,[1]参加チーム!$J$21:$Q$56,5,FALSE),3),"")</f>
        <v>仁多中</v>
      </c>
      <c r="AD23" s="424" t="str">
        <f>IF($P$9=3,VLOOKUP(AC23,$G$6:$S$9,2,FALSE),"")</f>
        <v/>
      </c>
      <c r="AE23" s="424" t="str">
        <f>IF($P$9=3,VLOOKUP(AD23,$G$6:$S$9,2,FALSE),"")</f>
        <v/>
      </c>
      <c r="AF23" s="424" t="str">
        <f>IF($P$9=3,VLOOKUP(AE23,$G$6:$S$9,2,FALSE),"")</f>
        <v/>
      </c>
      <c r="AG23" s="424" t="str">
        <f>IF($P$9=3,VLOOKUP(AF23,$G$6:$S$9,2,FALSE),"")</f>
        <v/>
      </c>
      <c r="AH23" s="426">
        <f>IF(AI23="","",SUM(AI23:AI24))</f>
        <v>1</v>
      </c>
      <c r="AI23" s="156">
        <f>IF(日程・対戦記録表!Q37="","",日程・対戦記録表!Q37)</f>
        <v>1</v>
      </c>
      <c r="AJ23" s="157" t="s">
        <v>54</v>
      </c>
      <c r="AK23" s="240">
        <f>IF(日程・対戦記録表!R37="","",日程・対戦記録表!R37)</f>
        <v>1</v>
      </c>
      <c r="AL23" s="428">
        <f>IF(AK23="","",SUM(AK23:AK24))</f>
        <v>5</v>
      </c>
      <c r="AM23" s="430" t="str">
        <f>IF([1]参加チーム!$E$17=8,LEFT(VLOOKUP($N23,[1]参加チーム!$J$21:$Q$56,8,FALSE),3),"")</f>
        <v>玖珂中</v>
      </c>
      <c r="AN23" s="430" t="str">
        <f>IF($P$9=3,VLOOKUP(AM23,$G$6:$S$9,2,FALSE),"")</f>
        <v/>
      </c>
      <c r="AO23" s="430" t="str">
        <f>IF($P$9=3,VLOOKUP(AN23,$G$6:$S$9,2,FALSE),"")</f>
        <v/>
      </c>
      <c r="AP23" s="430" t="str">
        <f>IF($P$9=3,VLOOKUP(AO23,$G$6:$S$9,2,FALSE),"")</f>
        <v/>
      </c>
      <c r="AQ23" s="430" t="str">
        <f>IF($P$9=3,VLOOKUP(AP23,$G$6:$S$9,2,FALSE),"")</f>
        <v/>
      </c>
      <c r="AR23" s="432" t="str">
        <f>VLOOKUP(AU23,$F$6:$Q$9,12,FALSE)</f>
        <v>G7</v>
      </c>
      <c r="AS23" s="434">
        <f>IF($P$10=4,AU23,"")</f>
        <v>6</v>
      </c>
      <c r="AT23" s="150">
        <v>3</v>
      </c>
      <c r="AU23" s="150">
        <v>6</v>
      </c>
      <c r="AV23" s="141" t="str">
        <f>AT23&amp;AU23</f>
        <v>36</v>
      </c>
      <c r="AW23" s="155">
        <f>IF(AI23="","",AI23)</f>
        <v>1</v>
      </c>
      <c r="AX23" s="155">
        <f>IF(AI24="","",AI24)</f>
        <v>0</v>
      </c>
      <c r="AY23" s="140"/>
    </row>
    <row r="24" spans="1:51" ht="13.5" customHeight="1" x14ac:dyDescent="0.15">
      <c r="A24" s="154" t="str">
        <f>IF(A23="","",WEEKDAY(A23))</f>
        <v/>
      </c>
      <c r="B24" s="160">
        <f>IF(B23="","",WEEKDAY(B23))</f>
        <v>7</v>
      </c>
      <c r="C24" s="439"/>
      <c r="D24" s="440"/>
      <c r="E24" s="440"/>
      <c r="F24" s="440"/>
      <c r="G24" s="440"/>
      <c r="H24" s="440"/>
      <c r="I24" s="440"/>
      <c r="J24" s="440"/>
      <c r="K24" s="440"/>
      <c r="L24" s="440"/>
      <c r="M24" s="440"/>
      <c r="N24" s="442"/>
      <c r="O24" s="442"/>
      <c r="P24" s="442"/>
      <c r="Q24" s="444"/>
      <c r="R24" s="444"/>
      <c r="S24" s="444"/>
      <c r="T24" s="444"/>
      <c r="U24" s="446"/>
      <c r="V24" s="446"/>
      <c r="W24" s="448"/>
      <c r="X24" s="448"/>
      <c r="Y24" s="448"/>
      <c r="Z24" s="448"/>
      <c r="AA24" s="450"/>
      <c r="AB24" s="452"/>
      <c r="AC24" s="425"/>
      <c r="AD24" s="425"/>
      <c r="AE24" s="425"/>
      <c r="AF24" s="425"/>
      <c r="AG24" s="425"/>
      <c r="AH24" s="427"/>
      <c r="AI24" s="151">
        <f>IF(日程・対戦記録表!Q38="","",日程・対戦記録表!Q38)</f>
        <v>0</v>
      </c>
      <c r="AJ24" s="152" t="s">
        <v>54</v>
      </c>
      <c r="AK24" s="239">
        <f>IF(日程・対戦記録表!R38="","",日程・対戦記録表!R38)</f>
        <v>4</v>
      </c>
      <c r="AL24" s="429"/>
      <c r="AM24" s="431"/>
      <c r="AN24" s="431"/>
      <c r="AO24" s="431"/>
      <c r="AP24" s="431"/>
      <c r="AQ24" s="431"/>
      <c r="AR24" s="433"/>
      <c r="AS24" s="435"/>
      <c r="AT24" s="150"/>
      <c r="AU24" s="150"/>
      <c r="AV24" s="141" t="str">
        <f>AU23&amp;AT23</f>
        <v>63</v>
      </c>
      <c r="AW24" s="149">
        <f>IF(AK23="","",AK23)</f>
        <v>1</v>
      </c>
      <c r="AX24" s="149">
        <f>IF(AK24="","",AK24)</f>
        <v>4</v>
      </c>
      <c r="AY24" s="140"/>
    </row>
    <row r="25" spans="1:51" ht="13.5" customHeight="1" x14ac:dyDescent="0.15">
      <c r="A25" s="159"/>
      <c r="B25" s="158">
        <f>[1]参加チーム!$J$5+1</f>
        <v>43673</v>
      </c>
      <c r="C25" s="437" t="str">
        <f>IF(MOD(N25,2)=0,"B","A")&amp;"　コート"</f>
        <v>B　コート</v>
      </c>
      <c r="D25" s="438"/>
      <c r="E25" s="438"/>
      <c r="F25" s="438"/>
      <c r="G25" s="438"/>
      <c r="H25" s="438"/>
      <c r="I25" s="438"/>
      <c r="J25" s="438"/>
      <c r="K25" s="438"/>
      <c r="L25" s="438"/>
      <c r="M25" s="438"/>
      <c r="N25" s="441">
        <v>20</v>
      </c>
      <c r="O25" s="441"/>
      <c r="P25" s="441"/>
      <c r="Q25" s="443" t="str">
        <f>VLOOKUP(N25,[1]リスト!$C$2:$F$34,2,FALSE)</f>
        <v>13:40</v>
      </c>
      <c r="R25" s="443"/>
      <c r="S25" s="443"/>
      <c r="T25" s="443"/>
      <c r="U25" s="445" t="s">
        <v>82</v>
      </c>
      <c r="V25" s="445"/>
      <c r="W25" s="447"/>
      <c r="X25" s="447"/>
      <c r="Y25" s="447"/>
      <c r="Z25" s="447"/>
      <c r="AA25" s="449">
        <f>IF($P$10=4,AT25,"")</f>
        <v>1</v>
      </c>
      <c r="AB25" s="451" t="str">
        <f>VLOOKUP(AT25,$F$6:$Q$9,12,FALSE)</f>
        <v>G1</v>
      </c>
      <c r="AC25" s="424" t="str">
        <f>IF([1]参加チーム!$E$17=8,LEFT(VLOOKUP($N25,[1]参加チーム!$J$21:$Q$56,5,FALSE),3),"")</f>
        <v>八頭中</v>
      </c>
      <c r="AD25" s="424" t="str">
        <f>IF($P$9=3,VLOOKUP(AC25,$G$6:$S$9,2,FALSE),"")</f>
        <v/>
      </c>
      <c r="AE25" s="424" t="str">
        <f>IF($P$9=3,VLOOKUP(AD25,$G$6:$S$9,2,FALSE),"")</f>
        <v/>
      </c>
      <c r="AF25" s="424" t="str">
        <f>IF($P$9=3,VLOOKUP(AE25,$G$6:$S$9,2,FALSE),"")</f>
        <v/>
      </c>
      <c r="AG25" s="424" t="str">
        <f>IF($P$9=3,VLOOKUP(AF25,$G$6:$S$9,2,FALSE),"")</f>
        <v/>
      </c>
      <c r="AH25" s="426">
        <f>IF(AI25="","",SUM(AI25:AI26))</f>
        <v>3</v>
      </c>
      <c r="AI25" s="156">
        <f>IF(日程・対戦記録表!AH37="","",日程・対戦記録表!AH37)</f>
        <v>2</v>
      </c>
      <c r="AJ25" s="157" t="s">
        <v>95</v>
      </c>
      <c r="AK25" s="240">
        <f>IF(日程・対戦記録表!AI37="","",日程・対戦記録表!AI37)</f>
        <v>2</v>
      </c>
      <c r="AL25" s="428">
        <f>IF(AK25="","",SUM(AK25:AK26))</f>
        <v>3</v>
      </c>
      <c r="AM25" s="430" t="str">
        <f>IF([1]参加チーム!$E$17=8,LEFT(VLOOKUP($N25,[1]参加チーム!$J$21:$Q$56,8,FALSE),3),"")</f>
        <v>磐梨中</v>
      </c>
      <c r="AN25" s="430" t="str">
        <f>IF($P$9=3,VLOOKUP(AM25,$G$6:$S$9,2,FALSE),"")</f>
        <v/>
      </c>
      <c r="AO25" s="430" t="str">
        <f>IF($P$9=3,VLOOKUP(AN25,$G$6:$S$9,2,FALSE),"")</f>
        <v/>
      </c>
      <c r="AP25" s="430" t="str">
        <f>IF($P$9=3,VLOOKUP(AO25,$G$6:$S$9,2,FALSE),"")</f>
        <v/>
      </c>
      <c r="AQ25" s="430" t="str">
        <f>IF($P$9=3,VLOOKUP(AP25,$G$6:$S$9,2,FALSE),"")</f>
        <v/>
      </c>
      <c r="AR25" s="432" t="str">
        <f>VLOOKUP(AU25,$F$6:$Q$9,12,FALSE)</f>
        <v>G6</v>
      </c>
      <c r="AS25" s="434">
        <f>IF($P$10=4,AU25,"")</f>
        <v>7</v>
      </c>
      <c r="AT25" s="150">
        <v>1</v>
      </c>
      <c r="AU25" s="150">
        <v>7</v>
      </c>
      <c r="AV25" s="141" t="str">
        <f>AT25&amp;AU25</f>
        <v>17</v>
      </c>
      <c r="AW25" s="155">
        <f>IF(AI25="","",AI25)</f>
        <v>2</v>
      </c>
      <c r="AX25" s="155">
        <f>IF(AI26="","",AI26)</f>
        <v>1</v>
      </c>
      <c r="AY25" s="140"/>
    </row>
    <row r="26" spans="1:51" ht="13.5" customHeight="1" x14ac:dyDescent="0.15">
      <c r="A26" s="154" t="str">
        <f>IF(A25="","",WEEKDAY(A25))</f>
        <v/>
      </c>
      <c r="B26" s="153">
        <f>IF(B25="","",WEEKDAY(B25))</f>
        <v>7</v>
      </c>
      <c r="C26" s="439"/>
      <c r="D26" s="440"/>
      <c r="E26" s="440"/>
      <c r="F26" s="440"/>
      <c r="G26" s="440"/>
      <c r="H26" s="440"/>
      <c r="I26" s="440"/>
      <c r="J26" s="440"/>
      <c r="K26" s="440"/>
      <c r="L26" s="440"/>
      <c r="M26" s="440"/>
      <c r="N26" s="442"/>
      <c r="O26" s="442"/>
      <c r="P26" s="442"/>
      <c r="Q26" s="444"/>
      <c r="R26" s="444"/>
      <c r="S26" s="444"/>
      <c r="T26" s="444"/>
      <c r="U26" s="446"/>
      <c r="V26" s="446"/>
      <c r="W26" s="448"/>
      <c r="X26" s="448"/>
      <c r="Y26" s="448"/>
      <c r="Z26" s="448"/>
      <c r="AA26" s="450"/>
      <c r="AB26" s="452"/>
      <c r="AC26" s="425"/>
      <c r="AD26" s="425"/>
      <c r="AE26" s="425"/>
      <c r="AF26" s="425"/>
      <c r="AG26" s="425"/>
      <c r="AH26" s="427"/>
      <c r="AI26" s="151">
        <f>IF(日程・対戦記録表!AH38="","",日程・対戦記録表!AH38)</f>
        <v>1</v>
      </c>
      <c r="AJ26" s="152" t="s">
        <v>95</v>
      </c>
      <c r="AK26" s="239">
        <f>IF(日程・対戦記録表!AI38="","",日程・対戦記録表!AI38)</f>
        <v>1</v>
      </c>
      <c r="AL26" s="429"/>
      <c r="AM26" s="431"/>
      <c r="AN26" s="431"/>
      <c r="AO26" s="431"/>
      <c r="AP26" s="431"/>
      <c r="AQ26" s="431"/>
      <c r="AR26" s="433"/>
      <c r="AS26" s="435"/>
      <c r="AT26" s="150"/>
      <c r="AU26" s="150"/>
      <c r="AV26" s="141" t="str">
        <f>AU25&amp;AT25</f>
        <v>71</v>
      </c>
      <c r="AW26" s="149">
        <f>IF(AK25="","",AK25)</f>
        <v>2</v>
      </c>
      <c r="AX26" s="149">
        <f>IF(AK26="","",AK26)</f>
        <v>1</v>
      </c>
      <c r="AY26" s="140"/>
    </row>
    <row r="27" spans="1:51" ht="34.5" customHeight="1" x14ac:dyDescent="0.2">
      <c r="A27" s="141"/>
      <c r="B27" s="455" t="s">
        <v>101</v>
      </c>
      <c r="C27" s="455"/>
      <c r="D27" s="455"/>
      <c r="E27" s="455"/>
      <c r="F27" s="455"/>
      <c r="G27" s="455"/>
      <c r="H27" s="455"/>
      <c r="I27" s="455"/>
      <c r="J27" s="455"/>
      <c r="K27" s="455"/>
      <c r="L27" s="455"/>
      <c r="M27" s="455"/>
      <c r="N27" s="455"/>
      <c r="O27" s="455"/>
      <c r="P27" s="455"/>
      <c r="Q27" s="455"/>
      <c r="R27" s="455"/>
      <c r="S27" s="455"/>
      <c r="T27" s="455"/>
      <c r="U27" s="455"/>
      <c r="V27" s="455"/>
      <c r="W27" s="455"/>
      <c r="X27" s="455"/>
      <c r="Y27" s="455"/>
      <c r="Z27" s="455"/>
      <c r="AA27" s="455"/>
      <c r="AB27" s="455"/>
      <c r="AC27" s="455"/>
      <c r="AD27" s="455"/>
      <c r="AE27" s="455"/>
      <c r="AF27" s="455"/>
      <c r="AG27" s="455"/>
      <c r="AH27" s="455"/>
      <c r="AI27" s="455"/>
      <c r="AJ27" s="455"/>
      <c r="AK27" s="455"/>
      <c r="AL27" s="455"/>
      <c r="AM27" s="455"/>
      <c r="AN27" s="455"/>
      <c r="AO27" s="455"/>
      <c r="AP27" s="455"/>
      <c r="AQ27" s="455"/>
      <c r="AR27" s="455"/>
      <c r="AS27" s="148"/>
      <c r="AT27" s="141"/>
      <c r="AU27" s="141"/>
      <c r="AV27" s="141"/>
      <c r="AW27" s="141"/>
      <c r="AX27" s="141"/>
      <c r="AY27" s="140"/>
    </row>
    <row r="28" spans="1:51" ht="12" customHeight="1" x14ac:dyDescent="0.2">
      <c r="A28" s="147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6"/>
      <c r="AK28" s="145"/>
      <c r="AL28" s="145"/>
      <c r="AM28" s="145"/>
      <c r="AN28" s="145"/>
      <c r="AO28" s="145"/>
      <c r="AP28" s="145"/>
      <c r="AQ28" s="145"/>
      <c r="AR28" s="145"/>
      <c r="AS28" s="144"/>
      <c r="AT28" s="141"/>
      <c r="AU28" s="141"/>
      <c r="AV28" s="141"/>
      <c r="AW28" s="141"/>
      <c r="AX28" s="141"/>
      <c r="AY28" s="140"/>
    </row>
    <row r="29" spans="1:51" ht="15" hidden="1" customHeight="1" x14ac:dyDescent="0.15">
      <c r="A29" s="141"/>
      <c r="B29" s="142"/>
      <c r="C29" s="456">
        <f>A31</f>
        <v>1</v>
      </c>
      <c r="D29" s="456"/>
      <c r="E29" s="456"/>
      <c r="F29" s="456"/>
      <c r="G29" s="456"/>
      <c r="H29" s="456">
        <f>A34</f>
        <v>3</v>
      </c>
      <c r="I29" s="456"/>
      <c r="J29" s="456"/>
      <c r="K29" s="456"/>
      <c r="L29" s="456"/>
      <c r="M29" s="457">
        <f>A37</f>
        <v>7</v>
      </c>
      <c r="N29" s="457"/>
      <c r="O29" s="457"/>
      <c r="P29" s="457"/>
      <c r="Q29" s="457"/>
      <c r="R29" s="457">
        <f>A40</f>
        <v>6</v>
      </c>
      <c r="S29" s="457"/>
      <c r="T29" s="457"/>
      <c r="U29" s="457"/>
      <c r="V29" s="457"/>
      <c r="W29" s="457" t="str">
        <f>A43</f>
        <v/>
      </c>
      <c r="X29" s="457"/>
      <c r="Y29" s="457"/>
      <c r="Z29" s="457"/>
      <c r="AA29" s="457"/>
      <c r="AB29" s="143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1"/>
      <c r="AT29" s="141"/>
      <c r="AU29" s="141"/>
      <c r="AV29" s="141"/>
      <c r="AW29" s="141"/>
      <c r="AX29" s="141"/>
      <c r="AY29" s="140"/>
    </row>
    <row r="30" spans="1:51" s="123" customFormat="1" ht="14.25" customHeight="1" x14ac:dyDescent="0.15">
      <c r="A30" s="139"/>
      <c r="B30" s="138" t="s">
        <v>102</v>
      </c>
      <c r="C30" s="475" t="str">
        <f>B31</f>
        <v>八頭中</v>
      </c>
      <c r="D30" s="475"/>
      <c r="E30" s="475"/>
      <c r="F30" s="475"/>
      <c r="G30" s="475"/>
      <c r="H30" s="475" t="str">
        <f>B34</f>
        <v>仁多中</v>
      </c>
      <c r="I30" s="475"/>
      <c r="J30" s="475"/>
      <c r="K30" s="475"/>
      <c r="L30" s="475"/>
      <c r="M30" s="475" t="str">
        <f>B37</f>
        <v>磐梨中</v>
      </c>
      <c r="N30" s="475"/>
      <c r="O30" s="475"/>
      <c r="P30" s="475"/>
      <c r="Q30" s="475"/>
      <c r="R30" s="475" t="str">
        <f>B40</f>
        <v>玖珂中</v>
      </c>
      <c r="S30" s="475"/>
      <c r="T30" s="475"/>
      <c r="U30" s="475"/>
      <c r="V30" s="475"/>
      <c r="W30" s="476" t="str">
        <f>LEFT(B43,8)</f>
        <v/>
      </c>
      <c r="X30" s="477"/>
      <c r="Y30" s="477"/>
      <c r="Z30" s="477"/>
      <c r="AA30" s="477"/>
      <c r="AB30" s="478" t="s">
        <v>53</v>
      </c>
      <c r="AC30" s="479"/>
      <c r="AD30" s="473" t="s">
        <v>52</v>
      </c>
      <c r="AE30" s="474"/>
      <c r="AF30" s="473" t="s">
        <v>51</v>
      </c>
      <c r="AG30" s="474"/>
      <c r="AH30" s="473" t="s">
        <v>50</v>
      </c>
      <c r="AI30" s="474"/>
      <c r="AJ30" s="473" t="s">
        <v>49</v>
      </c>
      <c r="AK30" s="474"/>
      <c r="AL30" s="473" t="s">
        <v>48</v>
      </c>
      <c r="AM30" s="474"/>
      <c r="AN30" s="473" t="s">
        <v>47</v>
      </c>
      <c r="AO30" s="474"/>
      <c r="AP30" s="458" t="s">
        <v>46</v>
      </c>
      <c r="AQ30" s="458"/>
      <c r="AR30" s="458"/>
      <c r="AS30" s="137" t="s">
        <v>45</v>
      </c>
      <c r="AT30" s="125"/>
      <c r="AU30" s="125"/>
      <c r="AV30" s="125"/>
      <c r="AW30" s="134" t="s">
        <v>44</v>
      </c>
      <c r="AX30" s="124"/>
      <c r="AY30" s="124"/>
    </row>
    <row r="31" spans="1:51" s="123" customFormat="1" ht="13.5" customHeight="1" x14ac:dyDescent="0.15">
      <c r="A31" s="459">
        <f>IF($P$10=4,AT6,"")</f>
        <v>1</v>
      </c>
      <c r="B31" s="462" t="str">
        <f>IF(H6="","",H6)</f>
        <v>八頭中</v>
      </c>
      <c r="C31" s="465"/>
      <c r="D31" s="132"/>
      <c r="E31" s="132"/>
      <c r="F31" s="132"/>
      <c r="G31" s="467"/>
      <c r="H31" s="497">
        <f>IF(AND(I31="",I32=""),"",SUM(I31:I32))</f>
        <v>6</v>
      </c>
      <c r="I31" s="131">
        <f>AI15</f>
        <v>1</v>
      </c>
      <c r="J31" s="131" t="s">
        <v>43</v>
      </c>
      <c r="K31" s="131">
        <f>AK15</f>
        <v>0</v>
      </c>
      <c r="L31" s="504">
        <f>IF(AND(K31="",K32=""),"",SUM(K31:K32))</f>
        <v>0</v>
      </c>
      <c r="M31" s="497">
        <f>IF(AND(N31="",N32=""),"",SUM(N31:N32))</f>
        <v>3</v>
      </c>
      <c r="N31" s="131">
        <f>AI25</f>
        <v>2</v>
      </c>
      <c r="O31" s="131" t="s">
        <v>43</v>
      </c>
      <c r="P31" s="131">
        <f>AK25</f>
        <v>2</v>
      </c>
      <c r="Q31" s="504">
        <f>IF(AND(P31="",P32=""),"",SUM(P31:P32))</f>
        <v>3</v>
      </c>
      <c r="R31" s="497">
        <f>IF(AND(S31="",S32=""),"",SUM(S31:S32))</f>
        <v>2</v>
      </c>
      <c r="S31" s="131">
        <f>AI21</f>
        <v>2</v>
      </c>
      <c r="T31" s="131" t="s">
        <v>43</v>
      </c>
      <c r="U31" s="131">
        <f>AK21</f>
        <v>3</v>
      </c>
      <c r="V31" s="504">
        <f>IF(AND(U31="",U32=""),"",SUM(U31:U32))</f>
        <v>3</v>
      </c>
      <c r="W31" s="497" t="str">
        <f>IF(AND(X31="",X32=""),"",SUM(X31:X32))</f>
        <v/>
      </c>
      <c r="X31" s="131" t="str">
        <f>IF(W$30="","",VLOOKUP($A$31&amp;W$29,$AV$15:$AX$26,2,FALSE))</f>
        <v/>
      </c>
      <c r="Y31" s="131"/>
      <c r="Z31" s="131" t="str">
        <f>IF(W$30="","",VLOOKUP(W$29&amp;$A$31,$AV$15:$AX$26,2,FALSE))</f>
        <v/>
      </c>
      <c r="AA31" s="499" t="str">
        <f>IF(AND(Z31="",Z32=""),"",SUM(Z31:Z32))</f>
        <v/>
      </c>
      <c r="AB31" s="501">
        <f>IF(AND($C33="",$H33="",$M33="",$R33="",$W33=""),"",SUM(3*AD31,1*AF31))</f>
        <v>4</v>
      </c>
      <c r="AC31" s="502"/>
      <c r="AD31" s="503">
        <f>IF(AND($C33="",$H33="",$M33="",$R33="",$W33=""),"",COUNTIF($C33:$AA33,"○"))</f>
        <v>1</v>
      </c>
      <c r="AE31" s="503"/>
      <c r="AF31" s="503">
        <f>IF(AND($C33="",$H33="",$M33="",$R33="",$W33=""),"",COUNTIF($C33:$AA33,"△"))</f>
        <v>1</v>
      </c>
      <c r="AG31" s="503"/>
      <c r="AH31" s="503">
        <f>IF(AND($C33="",$H33="",$M33="",$R33="",$W33=""),"",COUNTIF($C33:$AA33,"●"))</f>
        <v>0</v>
      </c>
      <c r="AI31" s="503"/>
      <c r="AJ31" s="480">
        <f>IF(AND(C31="",H31="",M31="",R31="",W31=""),"",SUM(C31,H31,M31,R31,W31))</f>
        <v>11</v>
      </c>
      <c r="AK31" s="481"/>
      <c r="AL31" s="485">
        <f>IF(AND(G31="",L31="",Q31="",V31="",AA31=""),"",SUM(G31,L31,Q31,V31,AA31))</f>
        <v>6</v>
      </c>
      <c r="AM31" s="481"/>
      <c r="AN31" s="485">
        <f>IF(OR(AJ31="",AL31=""),"",AJ31-AL31)</f>
        <v>5</v>
      </c>
      <c r="AO31" s="481"/>
      <c r="AP31" s="488">
        <f>IF(OR($AI$26="",$AK$26=""),"",RANK(AS31,$AS$31:$AS$42))</f>
        <v>2</v>
      </c>
      <c r="AQ31" s="488"/>
      <c r="AR31" s="488"/>
      <c r="AS31" s="130">
        <f>SUM($AB31*10000,$AD31*1000,$AN31*100,$AJ31)</f>
        <v>41511</v>
      </c>
      <c r="AT31" s="125" t="str">
        <f>B31</f>
        <v>八頭中</v>
      </c>
      <c r="AU31" s="125"/>
      <c r="AV31" s="125"/>
      <c r="AW31" s="134">
        <v>1</v>
      </c>
      <c r="AX31" s="133" t="str">
        <f>IF($AP$31="","",VLOOKUP(AW31,$AP$31:$AU$42,5,FALSE))</f>
        <v>玖珂中</v>
      </c>
      <c r="AY31" s="133" t="str">
        <f>VLOOKUP(AX31,$H$6:$Q$9,10,FALSE)</f>
        <v>G7</v>
      </c>
    </row>
    <row r="32" spans="1:51" s="123" customFormat="1" ht="13.5" customHeight="1" x14ac:dyDescent="0.15">
      <c r="A32" s="460"/>
      <c r="B32" s="463"/>
      <c r="C32" s="466"/>
      <c r="D32" s="129"/>
      <c r="E32" s="129"/>
      <c r="F32" s="129"/>
      <c r="G32" s="468"/>
      <c r="H32" s="498"/>
      <c r="I32" s="128">
        <f>AI16</f>
        <v>5</v>
      </c>
      <c r="J32" s="128" t="s">
        <v>43</v>
      </c>
      <c r="K32" s="128">
        <f>AK16</f>
        <v>0</v>
      </c>
      <c r="L32" s="505"/>
      <c r="M32" s="498"/>
      <c r="N32" s="128">
        <f>AI26</f>
        <v>1</v>
      </c>
      <c r="O32" s="128" t="s">
        <v>43</v>
      </c>
      <c r="P32" s="128">
        <f>AK26</f>
        <v>1</v>
      </c>
      <c r="Q32" s="505"/>
      <c r="R32" s="498"/>
      <c r="S32" s="128">
        <f>AI22</f>
        <v>0</v>
      </c>
      <c r="T32" s="128" t="s">
        <v>43</v>
      </c>
      <c r="U32" s="128">
        <f>AK22</f>
        <v>0</v>
      </c>
      <c r="V32" s="505"/>
      <c r="W32" s="498"/>
      <c r="X32" s="128" t="str">
        <f>IF(W$30="","",VLOOKUP($A$31&amp;W$29,$AV$15:$AX$26,3,FALSE))</f>
        <v/>
      </c>
      <c r="Y32" s="128"/>
      <c r="Z32" s="128" t="str">
        <f>IF(W$30="","",VLOOKUP(W$29&amp;$A$31,$AV$15:$AX$26,3,FALSE))</f>
        <v/>
      </c>
      <c r="AA32" s="500"/>
      <c r="AB32" s="501"/>
      <c r="AC32" s="502"/>
      <c r="AD32" s="503"/>
      <c r="AE32" s="503"/>
      <c r="AF32" s="503"/>
      <c r="AG32" s="503"/>
      <c r="AH32" s="503"/>
      <c r="AI32" s="503"/>
      <c r="AJ32" s="482"/>
      <c r="AK32" s="483"/>
      <c r="AL32" s="486"/>
      <c r="AM32" s="483"/>
      <c r="AN32" s="486"/>
      <c r="AO32" s="483"/>
      <c r="AP32" s="488"/>
      <c r="AQ32" s="488"/>
      <c r="AR32" s="488"/>
      <c r="AS32" s="127"/>
      <c r="AT32" s="125"/>
      <c r="AU32" s="125"/>
      <c r="AV32" s="125"/>
      <c r="AW32" s="134">
        <v>2</v>
      </c>
      <c r="AX32" s="133" t="str">
        <f>IF($AP$31="","",VLOOKUP(AW32,$AP$31:$AU$42,5,FALSE))</f>
        <v>八頭中</v>
      </c>
      <c r="AY32" s="133" t="str">
        <f>VLOOKUP(AX32,$H$6:$Q$9,10,FALSE)</f>
        <v>G1</v>
      </c>
    </row>
    <row r="33" spans="1:51" s="123" customFormat="1" ht="18" customHeight="1" x14ac:dyDescent="0.15">
      <c r="A33" s="461"/>
      <c r="B33" s="464"/>
      <c r="C33" s="489"/>
      <c r="D33" s="490"/>
      <c r="E33" s="490"/>
      <c r="F33" s="490"/>
      <c r="G33" s="491"/>
      <c r="H33" s="495" t="str">
        <f>IF(OR(H31="",L31=""),"",IF(H31&gt;L31,"○",IF(H31=L31,"△",IF(H31&lt;L31,"☓",""))))</f>
        <v>○</v>
      </c>
      <c r="I33" s="496"/>
      <c r="J33" s="496"/>
      <c r="K33" s="496"/>
      <c r="L33" s="506"/>
      <c r="M33" s="495" t="str">
        <f>IF(OR(M31="",Q31=""),"",IF(M31&gt;Q31,"○",IF(M31=Q31,"△",IF(M31&lt;Q31,"☓",""))))</f>
        <v>△</v>
      </c>
      <c r="N33" s="496"/>
      <c r="O33" s="496"/>
      <c r="P33" s="496"/>
      <c r="Q33" s="506"/>
      <c r="R33" s="495" t="str">
        <f>IF(OR(R31="",V31=""),"",IF(R31&gt;V31,"○",IF(R31=V31,"△",IF(R31&lt;V31,"☓",""))))</f>
        <v>☓</v>
      </c>
      <c r="S33" s="496"/>
      <c r="T33" s="496"/>
      <c r="U33" s="496"/>
      <c r="V33" s="506"/>
      <c r="W33" s="495" t="str">
        <f>IF(OR(W31="",AA31=""),"",IF(W31&gt;AA31,"○",IF(W31=AA31,"△",IF(W31&lt;AA31,"●",""))))</f>
        <v/>
      </c>
      <c r="X33" s="496"/>
      <c r="Y33" s="496"/>
      <c r="Z33" s="496"/>
      <c r="AA33" s="496"/>
      <c r="AB33" s="501"/>
      <c r="AC33" s="502"/>
      <c r="AD33" s="503"/>
      <c r="AE33" s="503"/>
      <c r="AF33" s="503"/>
      <c r="AG33" s="503"/>
      <c r="AH33" s="503"/>
      <c r="AI33" s="503"/>
      <c r="AJ33" s="409"/>
      <c r="AK33" s="484"/>
      <c r="AL33" s="487"/>
      <c r="AM33" s="484"/>
      <c r="AN33" s="487"/>
      <c r="AO33" s="484"/>
      <c r="AP33" s="488"/>
      <c r="AQ33" s="488"/>
      <c r="AR33" s="488"/>
      <c r="AS33" s="126"/>
      <c r="AT33" s="125">
        <f>B33</f>
        <v>0</v>
      </c>
      <c r="AU33" s="125"/>
      <c r="AV33" s="125"/>
      <c r="AW33" s="134">
        <v>3</v>
      </c>
      <c r="AX33" s="133" t="str">
        <f>IF($AP$31="","",VLOOKUP(AW33,$AP$31:$AU$42,5,FALSE))</f>
        <v>磐梨中</v>
      </c>
      <c r="AY33" s="133" t="str">
        <f>VLOOKUP(AX33,$H$6:$Q$9,10,FALSE)</f>
        <v>G6</v>
      </c>
    </row>
    <row r="34" spans="1:51" s="123" customFormat="1" ht="13.5" customHeight="1" x14ac:dyDescent="0.15">
      <c r="A34" s="459">
        <f>IF($P$10&gt;1,AT7,"")</f>
        <v>3</v>
      </c>
      <c r="B34" s="462" t="str">
        <f>IF(H7="","",LEFT(H7,10))</f>
        <v>仁多中</v>
      </c>
      <c r="C34" s="497">
        <f>IF(AND(D34="",D35=""),"",SUM(D34:D35))</f>
        <v>0</v>
      </c>
      <c r="D34" s="131">
        <f>AK15</f>
        <v>0</v>
      </c>
      <c r="E34" s="131" t="s">
        <v>43</v>
      </c>
      <c r="F34" s="131">
        <f>AI15</f>
        <v>1</v>
      </c>
      <c r="G34" s="504">
        <f>IF(AND(F34="",F35=""),"",SUM(F34:F35))</f>
        <v>6</v>
      </c>
      <c r="H34" s="465"/>
      <c r="I34" s="132"/>
      <c r="J34" s="132"/>
      <c r="K34" s="132"/>
      <c r="L34" s="467"/>
      <c r="M34" s="497">
        <f>IF(AND(N34="",N35=""),"",SUM(N34:N35))</f>
        <v>0</v>
      </c>
      <c r="N34" s="131">
        <f>AI19</f>
        <v>0</v>
      </c>
      <c r="O34" s="131" t="s">
        <v>43</v>
      </c>
      <c r="P34" s="131">
        <f>AK19</f>
        <v>2</v>
      </c>
      <c r="Q34" s="504">
        <f>IF(AND(P34="",P35=""),"",SUM(P34:P35))</f>
        <v>4</v>
      </c>
      <c r="R34" s="497">
        <f>IF(AND(S34="",S35=""),"",SUM(S34:S35))</f>
        <v>1</v>
      </c>
      <c r="S34" s="131">
        <f>AI23</f>
        <v>1</v>
      </c>
      <c r="T34" s="131" t="s">
        <v>43</v>
      </c>
      <c r="U34" s="131">
        <f>AK23</f>
        <v>1</v>
      </c>
      <c r="V34" s="504">
        <f>IF(AND(U34="",U35=""),"",SUM(U34:U35))</f>
        <v>5</v>
      </c>
      <c r="W34" s="497" t="str">
        <f>IF(AND(X34="",X35=""),"",SUM(X34:X35))</f>
        <v/>
      </c>
      <c r="X34" s="131" t="str">
        <f>IF(W$30="","",VLOOKUP($A$34&amp;W$29,$AV$15:$AX$26,2,FALSE))</f>
        <v/>
      </c>
      <c r="Y34" s="131"/>
      <c r="Z34" s="131" t="str">
        <f>IF(W$30="","",VLOOKUP(W$29&amp;$A$34,$AV$15:$AX$26,2,FALSE))</f>
        <v/>
      </c>
      <c r="AA34" s="499" t="str">
        <f>IF(AND(Z34="",Z35=""),"",SUM(Z34:Z35))</f>
        <v/>
      </c>
      <c r="AB34" s="501">
        <f>IF(AND($C36="",$H36="",$M36="",$R36="",$W36=""),"",SUM(3*AD34,1*AF34))</f>
        <v>0</v>
      </c>
      <c r="AC34" s="502"/>
      <c r="AD34" s="503">
        <f>IF(AND($C36="",$H36="",$M36="",$R36="",$W36=""),"",COUNTIF($C36:$AA36,"○"))</f>
        <v>0</v>
      </c>
      <c r="AE34" s="503"/>
      <c r="AF34" s="503">
        <f>IF(AND($C36="",$H36="",$M36="",$R36="",$W36=""),"",COUNTIF($C36:$AA36,"△"))</f>
        <v>0</v>
      </c>
      <c r="AG34" s="503"/>
      <c r="AH34" s="503">
        <f>IF(AND($C36="",$H36="",$M36="",$R36="",$W36=""),"",COUNTIF($C36:$AA36,"●"))</f>
        <v>0</v>
      </c>
      <c r="AI34" s="503"/>
      <c r="AJ34" s="480">
        <f>IF(AND(C34="",H34="",M34="",R34="",W34=""),"",SUM(C34,H34,M34,R34,W34))</f>
        <v>1</v>
      </c>
      <c r="AK34" s="481"/>
      <c r="AL34" s="485">
        <f>IF(AND(G34="",L34="",Q34="",V34="",AA34=""),"",SUM(G34,L34,Q34,V34,AA34))</f>
        <v>15</v>
      </c>
      <c r="AM34" s="481"/>
      <c r="AN34" s="485">
        <f>IF(OR(AJ34="",AL34=""),"",AJ34-AL34)</f>
        <v>-14</v>
      </c>
      <c r="AO34" s="481"/>
      <c r="AP34" s="488">
        <f>IF(OR($AI$26="",$AK$26=""),"",RANK(AS34,$AS$31:$AS$42))</f>
        <v>4</v>
      </c>
      <c r="AQ34" s="488"/>
      <c r="AR34" s="488"/>
      <c r="AS34" s="130">
        <f>SUM($AB34*10000,$AD34*1000,$AN34*100,$AJ34)</f>
        <v>-1399</v>
      </c>
      <c r="AT34" s="125" t="str">
        <f>B34</f>
        <v>仁多中</v>
      </c>
      <c r="AU34" s="125"/>
      <c r="AV34" s="125"/>
      <c r="AW34" s="134">
        <v>4</v>
      </c>
      <c r="AX34" s="133" t="str">
        <f>IF($AP$31="","",VLOOKUP(AW34,$AP$31:$AU$42,5,FALSE))</f>
        <v>仁多中</v>
      </c>
      <c r="AY34" s="133" t="str">
        <f>VLOOKUP(AX34,$H$6:$Q$9,10,FALSE)</f>
        <v>G4</v>
      </c>
    </row>
    <row r="35" spans="1:51" s="123" customFormat="1" ht="13.5" customHeight="1" x14ac:dyDescent="0.15">
      <c r="A35" s="460"/>
      <c r="B35" s="463"/>
      <c r="C35" s="498"/>
      <c r="D35" s="128">
        <f>AK16</f>
        <v>0</v>
      </c>
      <c r="E35" s="128" t="s">
        <v>43</v>
      </c>
      <c r="F35" s="128">
        <f>AI16</f>
        <v>5</v>
      </c>
      <c r="G35" s="505"/>
      <c r="H35" s="466"/>
      <c r="I35" s="129"/>
      <c r="J35" s="129"/>
      <c r="K35" s="129"/>
      <c r="L35" s="468"/>
      <c r="M35" s="498"/>
      <c r="N35" s="128">
        <f>AI20</f>
        <v>0</v>
      </c>
      <c r="O35" s="128" t="s">
        <v>43</v>
      </c>
      <c r="P35" s="128">
        <f>AK20</f>
        <v>2</v>
      </c>
      <c r="Q35" s="505"/>
      <c r="R35" s="498"/>
      <c r="S35" s="128">
        <f>AI24</f>
        <v>0</v>
      </c>
      <c r="T35" s="128" t="s">
        <v>43</v>
      </c>
      <c r="U35" s="128">
        <f>AK24</f>
        <v>4</v>
      </c>
      <c r="V35" s="505"/>
      <c r="W35" s="498"/>
      <c r="X35" s="128" t="str">
        <f>IF(W$30="","",VLOOKUP($A$34&amp;W$29,$AV$15:$AX$26,3,FALSE))</f>
        <v/>
      </c>
      <c r="Y35" s="128"/>
      <c r="Z35" s="128" t="str">
        <f>IF(W$30="","",VLOOKUP(W$29&amp;$A$34,$AV$15:$AX$26,3,FALSE))</f>
        <v/>
      </c>
      <c r="AA35" s="500"/>
      <c r="AB35" s="501"/>
      <c r="AC35" s="502"/>
      <c r="AD35" s="503"/>
      <c r="AE35" s="503"/>
      <c r="AF35" s="503"/>
      <c r="AG35" s="503"/>
      <c r="AH35" s="503"/>
      <c r="AI35" s="503"/>
      <c r="AJ35" s="482"/>
      <c r="AK35" s="483"/>
      <c r="AL35" s="486"/>
      <c r="AM35" s="483"/>
      <c r="AN35" s="486"/>
      <c r="AO35" s="483"/>
      <c r="AP35" s="488"/>
      <c r="AQ35" s="488"/>
      <c r="AR35" s="488"/>
      <c r="AS35" s="127"/>
      <c r="AT35" s="125"/>
      <c r="AU35" s="125"/>
      <c r="AV35" s="125"/>
      <c r="AW35" s="125"/>
      <c r="AX35" s="124"/>
      <c r="AY35" s="124"/>
    </row>
    <row r="36" spans="1:51" s="123" customFormat="1" ht="18" customHeight="1" x14ac:dyDescent="0.15">
      <c r="A36" s="461"/>
      <c r="B36" s="464"/>
      <c r="C36" s="495" t="str">
        <f>IF(OR(C34="",G34=""),"",IF(C34&gt;G34,"○",IF(C34=G34,"△",IF(C34&lt;G34,"☓",""))))</f>
        <v>☓</v>
      </c>
      <c r="D36" s="496"/>
      <c r="E36" s="496"/>
      <c r="F36" s="496"/>
      <c r="G36" s="506"/>
      <c r="H36" s="489"/>
      <c r="I36" s="490"/>
      <c r="J36" s="490"/>
      <c r="K36" s="490"/>
      <c r="L36" s="491"/>
      <c r="M36" s="495" t="str">
        <f>IF(OR(M34="",Q34=""),"",IF(M34&gt;Q34,"○",IF(M34=Q34,"△",IF(M34&lt;Q34,"☓",""))))</f>
        <v>☓</v>
      </c>
      <c r="N36" s="496"/>
      <c r="O36" s="496"/>
      <c r="P36" s="496"/>
      <c r="Q36" s="506"/>
      <c r="R36" s="495" t="str">
        <f>IF(OR(R34="",V34=""),"",IF(R34&gt;V34,"○",IF(R34=V34,"△",IF(R34&lt;V34,"☓",""))))</f>
        <v>☓</v>
      </c>
      <c r="S36" s="496"/>
      <c r="T36" s="496"/>
      <c r="U36" s="496"/>
      <c r="V36" s="506"/>
      <c r="W36" s="495" t="str">
        <f>IF(OR(W34="",AA34=""),"",IF(W34&gt;AA34,"○",IF(W34=AA34,"△",IF(W34&lt;AA34,"●",""))))</f>
        <v/>
      </c>
      <c r="X36" s="496"/>
      <c r="Y36" s="496"/>
      <c r="Z36" s="496"/>
      <c r="AA36" s="496"/>
      <c r="AB36" s="501"/>
      <c r="AC36" s="502"/>
      <c r="AD36" s="503"/>
      <c r="AE36" s="503"/>
      <c r="AF36" s="503"/>
      <c r="AG36" s="503"/>
      <c r="AH36" s="503"/>
      <c r="AI36" s="503"/>
      <c r="AJ36" s="409"/>
      <c r="AK36" s="484"/>
      <c r="AL36" s="487"/>
      <c r="AM36" s="484"/>
      <c r="AN36" s="487"/>
      <c r="AO36" s="484"/>
      <c r="AP36" s="488"/>
      <c r="AQ36" s="488"/>
      <c r="AR36" s="488"/>
      <c r="AS36" s="126"/>
      <c r="AT36" s="125">
        <f>B36</f>
        <v>0</v>
      </c>
      <c r="AU36" s="125"/>
      <c r="AV36" s="125"/>
      <c r="AW36" s="125"/>
      <c r="AX36" s="124"/>
      <c r="AY36" s="124"/>
    </row>
    <row r="37" spans="1:51" s="123" customFormat="1" ht="13.5" customHeight="1" x14ac:dyDescent="0.15">
      <c r="A37" s="459">
        <f>IF($P$10&gt;2,AT8,"")</f>
        <v>7</v>
      </c>
      <c r="B37" s="462" t="str">
        <f>IF(H8="","",LEFT(H8,10))</f>
        <v>磐梨中</v>
      </c>
      <c r="C37" s="497">
        <f>IF(AND(D37="",D38=""),"",SUM(D37:D38))</f>
        <v>3</v>
      </c>
      <c r="D37" s="131">
        <f>AK25</f>
        <v>2</v>
      </c>
      <c r="E37" s="131" t="s">
        <v>43</v>
      </c>
      <c r="F37" s="131">
        <f>AI25</f>
        <v>2</v>
      </c>
      <c r="G37" s="504">
        <f>IF(AND(F37="",F38=""),"",SUM(F37:F38))</f>
        <v>3</v>
      </c>
      <c r="H37" s="497">
        <f>IF(AND(I37="",I38=""),"",SUM(I37:I38))</f>
        <v>4</v>
      </c>
      <c r="I37" s="131">
        <f>AK19</f>
        <v>2</v>
      </c>
      <c r="J37" s="131" t="s">
        <v>43</v>
      </c>
      <c r="K37" s="131">
        <f>AI19</f>
        <v>0</v>
      </c>
      <c r="L37" s="504">
        <f>IF(AND(K37="",K38=""),"",SUM(K37:K38))</f>
        <v>0</v>
      </c>
      <c r="M37" s="465"/>
      <c r="N37" s="132"/>
      <c r="O37" s="132"/>
      <c r="P37" s="132"/>
      <c r="Q37" s="467"/>
      <c r="R37" s="497">
        <f>IF(AND(S37="",S38=""),"",SUM(S37:S38))</f>
        <v>0</v>
      </c>
      <c r="S37" s="131">
        <f>AI17</f>
        <v>0</v>
      </c>
      <c r="T37" s="131" t="s">
        <v>43</v>
      </c>
      <c r="U37" s="131">
        <f>AK17</f>
        <v>4</v>
      </c>
      <c r="V37" s="504">
        <f>IF(AND(U37="",U38=""),"",SUM(U37:U38))</f>
        <v>5</v>
      </c>
      <c r="W37" s="497" t="str">
        <f>IF(AND(X37="",X38=""),"",SUM(X37:X38))</f>
        <v/>
      </c>
      <c r="X37" s="131" t="str">
        <f>IF(W$30="","",VLOOKUP($A$37&amp;W$29,$AV$15:$AX$26,2,FALSE))</f>
        <v/>
      </c>
      <c r="Y37" s="131"/>
      <c r="Z37" s="131" t="str">
        <f>IF(W$30="","",VLOOKUP(W$29&amp;$A$37,$AV$15:$AX$26,2,FALSE))</f>
        <v/>
      </c>
      <c r="AA37" s="499" t="str">
        <f>IF(AND(Z37="",Z38=""),"",SUM(Z37:Z38))</f>
        <v/>
      </c>
      <c r="AB37" s="501">
        <f>IF(AND($C39="",$H39="",$M39="",$R39="",$W39=""),"",SUM(3*AD37,1*AF37))</f>
        <v>4</v>
      </c>
      <c r="AC37" s="502"/>
      <c r="AD37" s="503">
        <f>IF(AND($C39="",$H39="",$M39="",$R39="",$W39=""),"",COUNTIF($C39:$AA39,"○"))</f>
        <v>1</v>
      </c>
      <c r="AE37" s="503"/>
      <c r="AF37" s="503">
        <f>IF(AND($C39="",$H39="",$M39="",$R39="",$W39=""),"",COUNTIF($C39:$AA39,"△"))</f>
        <v>1</v>
      </c>
      <c r="AG37" s="503"/>
      <c r="AH37" s="503">
        <f>IF(AND($C39="",$H39="",$M39="",$R39="",$W39=""),"",COUNTIF($C39:$AA39,"●"))</f>
        <v>0</v>
      </c>
      <c r="AI37" s="503"/>
      <c r="AJ37" s="480">
        <f>IF(AND(C37="",H37="",M37="",R37="",W37=""),"",SUM(C37,H37,M37,R37,W37))</f>
        <v>7</v>
      </c>
      <c r="AK37" s="481"/>
      <c r="AL37" s="485">
        <f>IF(AND(G37="",L37="",Q37="",V37="",AA37=""),"",SUM(G37,L37,Q37,V37,AA37))</f>
        <v>8</v>
      </c>
      <c r="AM37" s="481"/>
      <c r="AN37" s="485">
        <f>IF(OR(AJ37="",AL37=""),"",AJ37-AL37)</f>
        <v>-1</v>
      </c>
      <c r="AO37" s="481"/>
      <c r="AP37" s="488">
        <f>IF(OR($AI$26="",$AK$26=""),"",RANK(AS37,$AS$31:$AS$42))</f>
        <v>3</v>
      </c>
      <c r="AQ37" s="488"/>
      <c r="AR37" s="488"/>
      <c r="AS37" s="130">
        <f>SUM($AB37*10000,$AD37*1000,$AN37*100,$AJ37)</f>
        <v>40907</v>
      </c>
      <c r="AT37" s="125" t="str">
        <f>B37</f>
        <v>磐梨中</v>
      </c>
      <c r="AU37" s="125"/>
      <c r="AV37" s="125"/>
      <c r="AW37" s="125"/>
      <c r="AX37" s="124"/>
      <c r="AY37" s="124"/>
    </row>
    <row r="38" spans="1:51" s="123" customFormat="1" ht="13.5" customHeight="1" x14ac:dyDescent="0.15">
      <c r="A38" s="460"/>
      <c r="B38" s="463"/>
      <c r="C38" s="498"/>
      <c r="D38" s="128">
        <f>AK26</f>
        <v>1</v>
      </c>
      <c r="E38" s="128" t="s">
        <v>43</v>
      </c>
      <c r="F38" s="128">
        <f>AI26</f>
        <v>1</v>
      </c>
      <c r="G38" s="505"/>
      <c r="H38" s="498"/>
      <c r="I38" s="128">
        <f>AK20</f>
        <v>2</v>
      </c>
      <c r="J38" s="128" t="s">
        <v>43</v>
      </c>
      <c r="K38" s="128">
        <f>AI20</f>
        <v>0</v>
      </c>
      <c r="L38" s="505"/>
      <c r="M38" s="466"/>
      <c r="N38" s="129"/>
      <c r="O38" s="129"/>
      <c r="P38" s="129"/>
      <c r="Q38" s="468"/>
      <c r="R38" s="498"/>
      <c r="S38" s="128">
        <f>AI18</f>
        <v>0</v>
      </c>
      <c r="T38" s="128" t="s">
        <v>43</v>
      </c>
      <c r="U38" s="128">
        <f>AK18</f>
        <v>1</v>
      </c>
      <c r="V38" s="505"/>
      <c r="W38" s="498"/>
      <c r="X38" s="128" t="str">
        <f>IF(W$30="","",VLOOKUP($A$37&amp;W$29,$AV$15:$AX$26,3,FALSE))</f>
        <v/>
      </c>
      <c r="Y38" s="128"/>
      <c r="Z38" s="128" t="str">
        <f>IF(W$30="","",VLOOKUP(W$29&amp;$A$37,$AV$15:$AX$26,3,FALSE))</f>
        <v/>
      </c>
      <c r="AA38" s="500"/>
      <c r="AB38" s="501"/>
      <c r="AC38" s="502"/>
      <c r="AD38" s="503"/>
      <c r="AE38" s="503"/>
      <c r="AF38" s="503"/>
      <c r="AG38" s="503"/>
      <c r="AH38" s="503"/>
      <c r="AI38" s="503"/>
      <c r="AJ38" s="482"/>
      <c r="AK38" s="483"/>
      <c r="AL38" s="486"/>
      <c r="AM38" s="483"/>
      <c r="AN38" s="486"/>
      <c r="AO38" s="483"/>
      <c r="AP38" s="488"/>
      <c r="AQ38" s="488"/>
      <c r="AR38" s="488"/>
      <c r="AS38" s="127"/>
      <c r="AT38" s="125"/>
      <c r="AU38" s="125"/>
      <c r="AV38" s="125"/>
      <c r="AW38" s="125"/>
      <c r="AX38" s="124"/>
      <c r="AY38" s="124"/>
    </row>
    <row r="39" spans="1:51" s="123" customFormat="1" ht="18" customHeight="1" x14ac:dyDescent="0.15">
      <c r="A39" s="461"/>
      <c r="B39" s="464"/>
      <c r="C39" s="495" t="str">
        <f>IF(OR(C37="",G37=""),"",IF(C37&gt;G37,"○",IF(C37=G37,"△",IF(C37&lt;G37,"☓",""))))</f>
        <v>△</v>
      </c>
      <c r="D39" s="496"/>
      <c r="E39" s="496"/>
      <c r="F39" s="496"/>
      <c r="G39" s="506"/>
      <c r="H39" s="495" t="str">
        <f>IF(OR(H37="",L37=""),"",IF(H37&gt;L37,"○",IF(H37=L37,"△",IF(H37&lt;L37,"☓",""))))</f>
        <v>○</v>
      </c>
      <c r="I39" s="496"/>
      <c r="J39" s="496"/>
      <c r="K39" s="496"/>
      <c r="L39" s="506"/>
      <c r="M39" s="489"/>
      <c r="N39" s="490"/>
      <c r="O39" s="490"/>
      <c r="P39" s="490"/>
      <c r="Q39" s="491"/>
      <c r="R39" s="495" t="str">
        <f>IF(OR(R37="",V37=""),"",IF(R37&gt;V37,"○",IF(R37=V37,"△",IF(R37&lt;V37,"☓",""))))</f>
        <v>☓</v>
      </c>
      <c r="S39" s="496"/>
      <c r="T39" s="496"/>
      <c r="U39" s="496"/>
      <c r="V39" s="506"/>
      <c r="W39" s="495" t="str">
        <f>IF(OR(W37="",AA37=""),"",IF(W37&gt;AA37,"○",IF(W37=AA37,"△",IF(W37&lt;AA37,"●",""))))</f>
        <v/>
      </c>
      <c r="X39" s="496"/>
      <c r="Y39" s="496"/>
      <c r="Z39" s="496"/>
      <c r="AA39" s="496"/>
      <c r="AB39" s="501"/>
      <c r="AC39" s="502"/>
      <c r="AD39" s="503"/>
      <c r="AE39" s="503"/>
      <c r="AF39" s="503"/>
      <c r="AG39" s="503"/>
      <c r="AH39" s="503"/>
      <c r="AI39" s="503"/>
      <c r="AJ39" s="409"/>
      <c r="AK39" s="484"/>
      <c r="AL39" s="487"/>
      <c r="AM39" s="484"/>
      <c r="AN39" s="487"/>
      <c r="AO39" s="484"/>
      <c r="AP39" s="488"/>
      <c r="AQ39" s="488"/>
      <c r="AR39" s="488"/>
      <c r="AS39" s="126"/>
      <c r="AT39" s="125">
        <f>B39</f>
        <v>0</v>
      </c>
      <c r="AU39" s="125"/>
      <c r="AV39" s="125"/>
      <c r="AW39" s="125"/>
      <c r="AX39" s="124"/>
      <c r="AY39" s="124"/>
    </row>
    <row r="40" spans="1:51" s="123" customFormat="1" ht="13.5" customHeight="1" x14ac:dyDescent="0.15">
      <c r="A40" s="459">
        <f>IF($P$10&gt;3,AT9,"")</f>
        <v>6</v>
      </c>
      <c r="B40" s="462" t="str">
        <f>IF(H9="","",LEFT(H9,10))</f>
        <v>玖珂中</v>
      </c>
      <c r="C40" s="497">
        <f>IF(AND(D40="",D41=""),"",SUM(D40:D41))</f>
        <v>3</v>
      </c>
      <c r="D40" s="131">
        <f>AK21</f>
        <v>3</v>
      </c>
      <c r="E40" s="131" t="s">
        <v>43</v>
      </c>
      <c r="F40" s="131">
        <f>AI21</f>
        <v>2</v>
      </c>
      <c r="G40" s="504">
        <f>IF(AND(F40="",F41=""),"",SUM(F40:F41))</f>
        <v>2</v>
      </c>
      <c r="H40" s="497">
        <f>IF(AND(I40="",I41=""),"",SUM(I40:I41))</f>
        <v>5</v>
      </c>
      <c r="I40" s="131">
        <f>AK23</f>
        <v>1</v>
      </c>
      <c r="J40" s="131" t="s">
        <v>43</v>
      </c>
      <c r="K40" s="131">
        <f>AI23</f>
        <v>1</v>
      </c>
      <c r="L40" s="504">
        <f>IF(AND(K40="",K41=""),"",SUM(K40:K41))</f>
        <v>1</v>
      </c>
      <c r="M40" s="497">
        <f>IF(AND(N40="",N41=""),"",SUM(N40:N41))</f>
        <v>5</v>
      </c>
      <c r="N40" s="131">
        <f>AK17</f>
        <v>4</v>
      </c>
      <c r="O40" s="131" t="s">
        <v>43</v>
      </c>
      <c r="P40" s="131">
        <f>AI17</f>
        <v>0</v>
      </c>
      <c r="Q40" s="504">
        <f>IF(AND(P40="",P41=""),"",SUM(P40:P41))</f>
        <v>0</v>
      </c>
      <c r="R40" s="465"/>
      <c r="S40" s="132"/>
      <c r="T40" s="132"/>
      <c r="U40" s="132"/>
      <c r="V40" s="467"/>
      <c r="W40" s="497" t="str">
        <f>IF(AND(X40="",X41=""),"",SUM(X40:X41))</f>
        <v/>
      </c>
      <c r="X40" s="131" t="str">
        <f>IF(W$30="","",VLOOKUP($A$40&amp;W$29,$AV$15:$AX$26,2,FALSE))</f>
        <v/>
      </c>
      <c r="Y40" s="131"/>
      <c r="Z40" s="131" t="str">
        <f>IF(W$30="","",VLOOKUP(W$29&amp;$A40,$AV$15:$AX$26,2,FALSE))</f>
        <v/>
      </c>
      <c r="AA40" s="499" t="str">
        <f>IF(AND(Z40="",Z41=""),"",SUM(Z40:Z41))</f>
        <v/>
      </c>
      <c r="AB40" s="501">
        <f>IF(AND($C42="",$H42="",$M42="",$R42="",$W42=""),"",SUM(3*AD40,1*AF40))</f>
        <v>9</v>
      </c>
      <c r="AC40" s="502"/>
      <c r="AD40" s="503">
        <f>IF(AND($C42="",$H42="",$M42="",$R42="",$W42=""),"",COUNTIF($C42:$AA42,"○"))</f>
        <v>3</v>
      </c>
      <c r="AE40" s="503"/>
      <c r="AF40" s="503">
        <f>IF(AND($C42="",$H42="",$M42="",$R42="",$W42=""),"",COUNTIF($C42:$AA42,"△"))</f>
        <v>0</v>
      </c>
      <c r="AG40" s="503"/>
      <c r="AH40" s="503">
        <f>IF(AND($C42="",$H42="",$M42="",$R42="",$W42=""),"",COUNTIF($C42:$AA42,"●"))</f>
        <v>0</v>
      </c>
      <c r="AI40" s="503"/>
      <c r="AJ40" s="480">
        <f>IF(AND(C40="",H40="",M40="",R40="",W40=""),"",SUM(C40,H40,M40,R40,W40))</f>
        <v>13</v>
      </c>
      <c r="AK40" s="481"/>
      <c r="AL40" s="485">
        <f>IF(AND(G40="",L40="",Q40="",V40="",AA40=""),"",SUM(G40,L40,Q40,V40,AA40))</f>
        <v>3</v>
      </c>
      <c r="AM40" s="481"/>
      <c r="AN40" s="485">
        <f>IF(OR(AJ40="",AL40=""),"",AJ40-AL40)</f>
        <v>10</v>
      </c>
      <c r="AO40" s="481"/>
      <c r="AP40" s="488">
        <f>IF(OR($AI$26="",$AK$26=""),"",RANK(AS40,$AS$31:$AS$42))</f>
        <v>1</v>
      </c>
      <c r="AQ40" s="488"/>
      <c r="AR40" s="488"/>
      <c r="AS40" s="130">
        <f>SUM($AB40*10000,$AD40*1000,$AN40*100,$AJ40)</f>
        <v>94013</v>
      </c>
      <c r="AT40" s="125" t="str">
        <f>B40</f>
        <v>玖珂中</v>
      </c>
      <c r="AU40" s="125"/>
      <c r="AV40" s="125"/>
      <c r="AW40" s="125"/>
      <c r="AX40" s="124"/>
      <c r="AY40" s="124"/>
    </row>
    <row r="41" spans="1:51" s="123" customFormat="1" ht="13.5" customHeight="1" x14ac:dyDescent="0.15">
      <c r="A41" s="460"/>
      <c r="B41" s="463"/>
      <c r="C41" s="498"/>
      <c r="D41" s="128">
        <f>AK22</f>
        <v>0</v>
      </c>
      <c r="E41" s="128" t="s">
        <v>43</v>
      </c>
      <c r="F41" s="128">
        <f>AI22</f>
        <v>0</v>
      </c>
      <c r="G41" s="505"/>
      <c r="H41" s="498"/>
      <c r="I41" s="128">
        <f>AK24</f>
        <v>4</v>
      </c>
      <c r="J41" s="128" t="s">
        <v>43</v>
      </c>
      <c r="K41" s="128">
        <f>AI24</f>
        <v>0</v>
      </c>
      <c r="L41" s="505"/>
      <c r="M41" s="498"/>
      <c r="N41" s="128">
        <f>AK18</f>
        <v>1</v>
      </c>
      <c r="O41" s="128" t="s">
        <v>43</v>
      </c>
      <c r="P41" s="128">
        <f>AI18</f>
        <v>0</v>
      </c>
      <c r="Q41" s="505"/>
      <c r="R41" s="466"/>
      <c r="S41" s="129"/>
      <c r="T41" s="129"/>
      <c r="U41" s="129"/>
      <c r="V41" s="468"/>
      <c r="W41" s="498"/>
      <c r="X41" s="128" t="str">
        <f>IF(W$30="","",VLOOKUP($A$40&amp;W$29,$AV$15:$AX$26,3,FALSE))</f>
        <v/>
      </c>
      <c r="Y41" s="128"/>
      <c r="Z41" s="128" t="str">
        <f>IF(W$30="","",VLOOKUP(W$29&amp;$A40,$AV$15:$AX$26,3,FALSE))</f>
        <v/>
      </c>
      <c r="AA41" s="500"/>
      <c r="AB41" s="501"/>
      <c r="AC41" s="502"/>
      <c r="AD41" s="503"/>
      <c r="AE41" s="503"/>
      <c r="AF41" s="503"/>
      <c r="AG41" s="503"/>
      <c r="AH41" s="503"/>
      <c r="AI41" s="503"/>
      <c r="AJ41" s="482"/>
      <c r="AK41" s="483"/>
      <c r="AL41" s="486"/>
      <c r="AM41" s="483"/>
      <c r="AN41" s="486"/>
      <c r="AO41" s="483"/>
      <c r="AP41" s="488"/>
      <c r="AQ41" s="488"/>
      <c r="AR41" s="488"/>
      <c r="AS41" s="127"/>
      <c r="AT41" s="125"/>
      <c r="AU41" s="125"/>
      <c r="AV41" s="125"/>
      <c r="AW41" s="125"/>
      <c r="AX41" s="124"/>
      <c r="AY41" s="124"/>
    </row>
    <row r="42" spans="1:51" s="123" customFormat="1" ht="18" customHeight="1" x14ac:dyDescent="0.15">
      <c r="A42" s="461"/>
      <c r="B42" s="464"/>
      <c r="C42" s="495" t="str">
        <f>IF(OR(C40="",G40=""),"",IF(C40&gt;G40,"○",IF(C40=G40,"△",IF(C40&lt;G40,"☓",""))))</f>
        <v>○</v>
      </c>
      <c r="D42" s="496"/>
      <c r="E42" s="496"/>
      <c r="F42" s="496"/>
      <c r="G42" s="506"/>
      <c r="H42" s="495" t="str">
        <f>IF(OR(H40="",L40=""),"",IF(H40&gt;L40,"○",IF(H40=L40,"△",IF(H40&lt;L40,"☓",""))))</f>
        <v>○</v>
      </c>
      <c r="I42" s="496"/>
      <c r="J42" s="496"/>
      <c r="K42" s="496"/>
      <c r="L42" s="506"/>
      <c r="M42" s="495" t="str">
        <f>IF(OR(M40="",Q40=""),"",IF(M40&gt;Q40,"○",IF(M40=Q40,"△",IF(M40&lt;Q40,"☓",""))))</f>
        <v>○</v>
      </c>
      <c r="N42" s="496"/>
      <c r="O42" s="496"/>
      <c r="P42" s="496"/>
      <c r="Q42" s="506"/>
      <c r="R42" s="489"/>
      <c r="S42" s="490"/>
      <c r="T42" s="490"/>
      <c r="U42" s="490"/>
      <c r="V42" s="491"/>
      <c r="W42" s="495" t="str">
        <f>IF(OR(W40="",AA40=""),"",IF(W40&gt;AA40,"○",IF(W40=AA40,"△",IF(W40&lt;AA40,"●",""))))</f>
        <v/>
      </c>
      <c r="X42" s="496"/>
      <c r="Y42" s="496"/>
      <c r="Z42" s="496"/>
      <c r="AA42" s="496"/>
      <c r="AB42" s="501"/>
      <c r="AC42" s="502"/>
      <c r="AD42" s="503"/>
      <c r="AE42" s="503"/>
      <c r="AF42" s="503"/>
      <c r="AG42" s="503"/>
      <c r="AH42" s="503"/>
      <c r="AI42" s="503"/>
      <c r="AJ42" s="409"/>
      <c r="AK42" s="484"/>
      <c r="AL42" s="487"/>
      <c r="AM42" s="484"/>
      <c r="AN42" s="487"/>
      <c r="AO42" s="484"/>
      <c r="AP42" s="488"/>
      <c r="AQ42" s="488"/>
      <c r="AR42" s="488"/>
      <c r="AS42" s="126"/>
      <c r="AT42" s="125">
        <f>B42</f>
        <v>0</v>
      </c>
      <c r="AU42" s="125"/>
      <c r="AV42" s="125"/>
      <c r="AW42" s="125"/>
      <c r="AX42" s="124"/>
      <c r="AY42" s="124"/>
    </row>
    <row r="43" spans="1:51" s="123" customFormat="1" ht="13.5" hidden="1" customHeight="1" x14ac:dyDescent="0.15">
      <c r="A43" s="459" t="str">
        <f>IF($P$10&gt;4,AT10,"")</f>
        <v/>
      </c>
      <c r="B43" s="511" t="str">
        <f>IF(H10="","",LEFT(VLOOKUP(A43,$G$6:$P$10,2,FALSE),10))</f>
        <v/>
      </c>
      <c r="C43" s="514" t="str">
        <f>IF(AND(D43="",D44=""),"",SUM(D43:D44))</f>
        <v/>
      </c>
      <c r="D43" s="238" t="str">
        <f>IF(OR(B43="",C$30=""),"",VLOOKUP($A43&amp;C$29,$AV$15:$AX$26,2,FALSE))</f>
        <v/>
      </c>
      <c r="E43" s="238" t="s">
        <v>43</v>
      </c>
      <c r="F43" s="238" t="str">
        <f>IF(OR(B43="",C$30=""),"",VLOOKUP(C$29&amp;$A43,$AV$15:$AX$26,2,FALSE))</f>
        <v/>
      </c>
      <c r="G43" s="516" t="str">
        <f>IF(AND(F43="",F44=""),"",SUM(F43:F44))</f>
        <v/>
      </c>
      <c r="H43" s="514" t="str">
        <f>IF(AND(I43="",I44=""),"",SUM(I43:I44))</f>
        <v/>
      </c>
      <c r="I43" s="238" t="str">
        <f>IF(OR(B43="",$H$30=""),"",VLOOKUP($A43&amp;$H$29,$AV$15:$AX$26,2,FALSE))</f>
        <v/>
      </c>
      <c r="J43" s="238" t="s">
        <v>43</v>
      </c>
      <c r="K43" s="238" t="str">
        <f>IF(OR(B43="",$H$30=""),"",VLOOKUP(H$29&amp;$A43,$AV$15:$AX$26,2,FALSE))</f>
        <v/>
      </c>
      <c r="L43" s="516" t="str">
        <f>IF(AND(K43="",K44=""),"",SUM(K43:K44))</f>
        <v/>
      </c>
      <c r="M43" s="514" t="str">
        <f>IF(AND(N43="",N44=""),"",SUM(N43:N44))</f>
        <v/>
      </c>
      <c r="N43" s="238" t="str">
        <f>IF(OR(B43="",$M$30=""),"",VLOOKUP($A43&amp;M29,$AV$15:$AX$26,2,FALSE))</f>
        <v/>
      </c>
      <c r="O43" s="238" t="s">
        <v>43</v>
      </c>
      <c r="P43" s="238" t="str">
        <f>IF(OR(B43="",$H$30=""),"",VLOOKUP(M$29&amp;$A$43,$AV$15:$AX$26,2,FALSE))</f>
        <v/>
      </c>
      <c r="Q43" s="516" t="str">
        <f>IF(AND(P43="",P44=""),"",SUM(P43:P44))</f>
        <v/>
      </c>
      <c r="R43" s="514" t="str">
        <f>IF(AND(S43="",S44=""),"",SUM(S43:S44))</f>
        <v/>
      </c>
      <c r="S43" s="238" t="str">
        <f>IF(OR(B43="",R$30=""),"",VLOOKUP(A43&amp;R$29,$AV$15:$AX$26,2,FALSE))</f>
        <v/>
      </c>
      <c r="T43" s="238" t="s">
        <v>43</v>
      </c>
      <c r="U43" s="238" t="str">
        <f>IF(OR(B43="",R$30=""),"",VLOOKUP(R$29&amp;A43,$AV$15:$AX$26,2,FALSE))</f>
        <v/>
      </c>
      <c r="V43" s="516" t="str">
        <f>IF(AND(U43="",U44=""),"",SUM(U43:U44))</f>
        <v/>
      </c>
      <c r="W43" s="535"/>
      <c r="X43" s="237"/>
      <c r="Y43" s="237"/>
      <c r="Z43" s="237"/>
      <c r="AA43" s="537"/>
      <c r="AB43" s="529" t="str">
        <f>IF(AND($C45="",$H45="",$M45="",$R45="",$W45=""),"",SUM(3*AD43,1*AF43))</f>
        <v/>
      </c>
      <c r="AC43" s="530"/>
      <c r="AD43" s="531" t="str">
        <f>IF(AND($C45="",$H45="",$M45="",$R45="",$W45=""),"",COUNTIF($C45:$AA45,"○"))</f>
        <v/>
      </c>
      <c r="AE43" s="531"/>
      <c r="AF43" s="531" t="str">
        <f>IF(AND($C45="",$H45="",$M45="",$R45="",$W45=""),"",COUNTIF($C45:$AA45,"△"))</f>
        <v/>
      </c>
      <c r="AG43" s="531"/>
      <c r="AH43" s="531" t="str">
        <f>IF(AND($C45="",$H45="",$M45="",$R45="",$W45=""),"",COUNTIF($C45:$AA45,"●"))</f>
        <v/>
      </c>
      <c r="AI43" s="531"/>
      <c r="AJ43" s="532" t="str">
        <f>IF(AND(C43="",H43="",M43="",R43="",W43=""),"",SUM(C43,H43,M43,R43,W43))</f>
        <v/>
      </c>
      <c r="AK43" s="519"/>
      <c r="AL43" s="518" t="str">
        <f>IF(AND(G43="",L43="",Q43="",V43="",AA43=""),"",SUM(G43,L43,Q43,V43,AA43))</f>
        <v/>
      </c>
      <c r="AM43" s="519"/>
      <c r="AN43" s="518" t="str">
        <f>IF(AND(AJ43="",AL43=""),"",AJ43-AL43)</f>
        <v/>
      </c>
      <c r="AO43" s="519"/>
      <c r="AP43" s="488" t="str">
        <f>IF(OR($AJ$31="",$AJ$34="",$AJ$37="",$AJ$40="",AJ43=""),"",RANK(AS43,$AS$31:$AS$42))</f>
        <v/>
      </c>
      <c r="AQ43" s="488"/>
      <c r="AR43" s="488"/>
      <c r="AS43" s="130" t="e">
        <f>SUM($AB43*10000,$AD43*1000,$AN43*100,$AJ43)</f>
        <v>#VALUE!</v>
      </c>
      <c r="AT43" s="125" t="str">
        <f>B43</f>
        <v/>
      </c>
      <c r="AU43" s="125"/>
      <c r="AV43" s="125"/>
      <c r="AW43" s="125"/>
    </row>
    <row r="44" spans="1:51" s="123" customFormat="1" ht="13.5" hidden="1" customHeight="1" x14ac:dyDescent="0.15">
      <c r="A44" s="460"/>
      <c r="B44" s="512"/>
      <c r="C44" s="515"/>
      <c r="D44" s="236" t="str">
        <f>IF(OR(B43="",C$30=""),"",VLOOKUP($A43&amp;C$29,$AV$15:$AX$26,3,FALSE))</f>
        <v/>
      </c>
      <c r="E44" s="236" t="s">
        <v>43</v>
      </c>
      <c r="F44" s="236" t="str">
        <f>IF(OR(B43="",C$30=""),"",VLOOKUP(C$29&amp;$A43,$AV$15:$AX$26,3,FALSE))</f>
        <v/>
      </c>
      <c r="G44" s="517"/>
      <c r="H44" s="515"/>
      <c r="I44" s="236" t="str">
        <f>IF(OR(B43="",H$30=""),"",VLOOKUP($A43&amp;$H$29,$AV$15:$AX$26,3,FALSE))</f>
        <v/>
      </c>
      <c r="J44" s="236" t="s">
        <v>43</v>
      </c>
      <c r="K44" s="236" t="str">
        <f>IF(OR(B43="",H$30=""),"",VLOOKUP(H$29&amp;$A43,$AV$15:$AX$26,3,FALSE))</f>
        <v/>
      </c>
      <c r="L44" s="517"/>
      <c r="M44" s="515"/>
      <c r="N44" s="236" t="str">
        <f>IF(OR(B43="",M$30=""),"",VLOOKUP($A43&amp;$M$29,$AV$15:$AX$26,3,FALSE))</f>
        <v/>
      </c>
      <c r="O44" s="236" t="s">
        <v>43</v>
      </c>
      <c r="P44" s="236" t="str">
        <f>IF(OR(B43="",M$30=""),"",VLOOKUP(M$29&amp;$A43,$AV$15:$AX$26,3,FALSE))</f>
        <v/>
      </c>
      <c r="Q44" s="517"/>
      <c r="R44" s="515"/>
      <c r="S44" s="236" t="str">
        <f>IF(OR(B43="",R$30=""),"",VLOOKUP(A43&amp;R$29,$AV$15:$AX$26,3,FALSE))</f>
        <v/>
      </c>
      <c r="T44" s="236" t="s">
        <v>43</v>
      </c>
      <c r="U44" s="236" t="str">
        <f>IF(OR(B43="",R$30=""),"",VLOOKUP(R$29&amp;A43,$AV$15:$AX$26,3,FALSE))</f>
        <v/>
      </c>
      <c r="V44" s="517"/>
      <c r="W44" s="536"/>
      <c r="X44" s="235"/>
      <c r="Y44" s="235"/>
      <c r="Z44" s="235"/>
      <c r="AA44" s="538"/>
      <c r="AB44" s="529"/>
      <c r="AC44" s="530"/>
      <c r="AD44" s="531"/>
      <c r="AE44" s="531"/>
      <c r="AF44" s="531"/>
      <c r="AG44" s="531"/>
      <c r="AH44" s="531"/>
      <c r="AI44" s="531"/>
      <c r="AJ44" s="533"/>
      <c r="AK44" s="521"/>
      <c r="AL44" s="520"/>
      <c r="AM44" s="521"/>
      <c r="AN44" s="520"/>
      <c r="AO44" s="521"/>
      <c r="AP44" s="488"/>
      <c r="AQ44" s="488"/>
      <c r="AR44" s="488"/>
      <c r="AS44" s="127"/>
      <c r="AT44" s="125"/>
      <c r="AU44" s="125"/>
      <c r="AV44" s="125"/>
      <c r="AW44" s="125"/>
    </row>
    <row r="45" spans="1:51" s="123" customFormat="1" ht="18" hidden="1" customHeight="1" x14ac:dyDescent="0.15">
      <c r="A45" s="461"/>
      <c r="B45" s="513"/>
      <c r="C45" s="524" t="str">
        <f>IF(OR(C43="",G43=""),"",IF(C43&gt;G43,"○",IF(C43=G43,"△",IF(C43&lt;G43,"●",""))))</f>
        <v/>
      </c>
      <c r="D45" s="525"/>
      <c r="E45" s="525"/>
      <c r="F45" s="525"/>
      <c r="G45" s="526"/>
      <c r="H45" s="524" t="str">
        <f>IF(OR(H43="",L43=""),"",IF(H43&gt;L43,"○",IF(H43=L43,"△",IF(H43&lt;L43,"●",""))))</f>
        <v/>
      </c>
      <c r="I45" s="525"/>
      <c r="J45" s="525"/>
      <c r="K45" s="525"/>
      <c r="L45" s="526"/>
      <c r="M45" s="524" t="str">
        <f>IF(OR(M43="",Q43=""),"",IF(M43&gt;Q43,"○",IF(M43=Q43,"△",IF(M43&lt;Q43,"●",""))))</f>
        <v/>
      </c>
      <c r="N45" s="525"/>
      <c r="O45" s="525"/>
      <c r="P45" s="525"/>
      <c r="Q45" s="526"/>
      <c r="R45" s="524" t="str">
        <f>IF(OR(R43="",V43=""),"",IF(R43&gt;V43,"○",IF(R43=V43,"△",IF(R43&lt;V43,"●",""))))</f>
        <v/>
      </c>
      <c r="S45" s="525"/>
      <c r="T45" s="525"/>
      <c r="U45" s="525"/>
      <c r="V45" s="526"/>
      <c r="W45" s="527"/>
      <c r="X45" s="528"/>
      <c r="Y45" s="528"/>
      <c r="Z45" s="528"/>
      <c r="AA45" s="528"/>
      <c r="AB45" s="529"/>
      <c r="AC45" s="530"/>
      <c r="AD45" s="531"/>
      <c r="AE45" s="531"/>
      <c r="AF45" s="531"/>
      <c r="AG45" s="531"/>
      <c r="AH45" s="531"/>
      <c r="AI45" s="531"/>
      <c r="AJ45" s="534"/>
      <c r="AK45" s="523"/>
      <c r="AL45" s="522"/>
      <c r="AM45" s="523"/>
      <c r="AN45" s="522"/>
      <c r="AO45" s="523"/>
      <c r="AP45" s="488"/>
      <c r="AQ45" s="488"/>
      <c r="AR45" s="488"/>
      <c r="AS45" s="126"/>
      <c r="AT45" s="125">
        <f>B45</f>
        <v>0</v>
      </c>
      <c r="AU45" s="125"/>
      <c r="AV45" s="125"/>
      <c r="AW45" s="125"/>
    </row>
  </sheetData>
  <sheetProtection selectLockedCells="1"/>
  <mergeCells count="251">
    <mergeCell ref="AN43:AO45"/>
    <mergeCell ref="AP43:AR45"/>
    <mergeCell ref="C45:G45"/>
    <mergeCell ref="H45:L45"/>
    <mergeCell ref="M45:Q45"/>
    <mergeCell ref="R45:V45"/>
    <mergeCell ref="W45:AA45"/>
    <mergeCell ref="AB43:AC45"/>
    <mergeCell ref="AD43:AE45"/>
    <mergeCell ref="AF43:AG45"/>
    <mergeCell ref="AH43:AI45"/>
    <mergeCell ref="AJ43:AK45"/>
    <mergeCell ref="AL43:AM45"/>
    <mergeCell ref="M43:M44"/>
    <mergeCell ref="Q43:Q44"/>
    <mergeCell ref="R43:R44"/>
    <mergeCell ref="V43:V44"/>
    <mergeCell ref="W43:W44"/>
    <mergeCell ref="AA43:AA44"/>
    <mergeCell ref="A43:A45"/>
    <mergeCell ref="B43:B45"/>
    <mergeCell ref="C43:C44"/>
    <mergeCell ref="G43:G44"/>
    <mergeCell ref="H43:H44"/>
    <mergeCell ref="L43:L44"/>
    <mergeCell ref="AN40:AO42"/>
    <mergeCell ref="AP40:AR42"/>
    <mergeCell ref="C42:G42"/>
    <mergeCell ref="H42:L42"/>
    <mergeCell ref="M42:Q42"/>
    <mergeCell ref="R42:V42"/>
    <mergeCell ref="W42:AA42"/>
    <mergeCell ref="AB40:AC42"/>
    <mergeCell ref="AD40:AE42"/>
    <mergeCell ref="AF40:AG42"/>
    <mergeCell ref="AH40:AI42"/>
    <mergeCell ref="AJ40:AK42"/>
    <mergeCell ref="AL40:AM42"/>
    <mergeCell ref="M40:M41"/>
    <mergeCell ref="Q40:Q41"/>
    <mergeCell ref="R40:R41"/>
    <mergeCell ref="V40:V41"/>
    <mergeCell ref="W40:W41"/>
    <mergeCell ref="AA40:AA41"/>
    <mergeCell ref="A40:A42"/>
    <mergeCell ref="B40:B42"/>
    <mergeCell ref="C40:C41"/>
    <mergeCell ref="G40:G41"/>
    <mergeCell ref="H40:H41"/>
    <mergeCell ref="L40:L41"/>
    <mergeCell ref="AN37:AO39"/>
    <mergeCell ref="AP37:AR39"/>
    <mergeCell ref="C39:G39"/>
    <mergeCell ref="H39:L39"/>
    <mergeCell ref="M39:Q39"/>
    <mergeCell ref="R39:V39"/>
    <mergeCell ref="W39:AA39"/>
    <mergeCell ref="AB37:AC39"/>
    <mergeCell ref="AD37:AE39"/>
    <mergeCell ref="AF37:AG39"/>
    <mergeCell ref="AH37:AI39"/>
    <mergeCell ref="AJ37:AK39"/>
    <mergeCell ref="AL37:AM39"/>
    <mergeCell ref="M37:M38"/>
    <mergeCell ref="Q37:Q38"/>
    <mergeCell ref="R37:R38"/>
    <mergeCell ref="V37:V38"/>
    <mergeCell ref="W37:W38"/>
    <mergeCell ref="AA37:AA38"/>
    <mergeCell ref="A37:A39"/>
    <mergeCell ref="B37:B39"/>
    <mergeCell ref="C37:C38"/>
    <mergeCell ref="G37:G38"/>
    <mergeCell ref="H37:H38"/>
    <mergeCell ref="L37:L38"/>
    <mergeCell ref="AN34:AO36"/>
    <mergeCell ref="A34:A36"/>
    <mergeCell ref="B34:B36"/>
    <mergeCell ref="AP34:AR36"/>
    <mergeCell ref="C36:G36"/>
    <mergeCell ref="H36:L36"/>
    <mergeCell ref="M36:Q36"/>
    <mergeCell ref="R36:V36"/>
    <mergeCell ref="W36:AA36"/>
    <mergeCell ref="AB34:AC36"/>
    <mergeCell ref="AD34:AE36"/>
    <mergeCell ref="AF34:AG36"/>
    <mergeCell ref="AH34:AI36"/>
    <mergeCell ref="AJ34:AK36"/>
    <mergeCell ref="AL34:AM36"/>
    <mergeCell ref="M34:M35"/>
    <mergeCell ref="Q34:Q35"/>
    <mergeCell ref="R34:R35"/>
    <mergeCell ref="V34:V35"/>
    <mergeCell ref="W34:W35"/>
    <mergeCell ref="AA34:AA35"/>
    <mergeCell ref="C34:C35"/>
    <mergeCell ref="G34:G35"/>
    <mergeCell ref="H34:H35"/>
    <mergeCell ref="L34:L35"/>
    <mergeCell ref="AL31:AM33"/>
    <mergeCell ref="AN31:AO33"/>
    <mergeCell ref="AP31:AR33"/>
    <mergeCell ref="C33:G33"/>
    <mergeCell ref="H33:L33"/>
    <mergeCell ref="M33:Q33"/>
    <mergeCell ref="R33:V33"/>
    <mergeCell ref="W33:AA33"/>
    <mergeCell ref="V31:V32"/>
    <mergeCell ref="W31:W32"/>
    <mergeCell ref="AA31:AA32"/>
    <mergeCell ref="AB31:AC33"/>
    <mergeCell ref="AD31:AE33"/>
    <mergeCell ref="AF31:AG33"/>
    <mergeCell ref="AP30:AR30"/>
    <mergeCell ref="A31:A33"/>
    <mergeCell ref="B31:B33"/>
    <mergeCell ref="C31:C32"/>
    <mergeCell ref="G31:G32"/>
    <mergeCell ref="H31:H32"/>
    <mergeCell ref="L31:L32"/>
    <mergeCell ref="M31:M32"/>
    <mergeCell ref="Q31:Q32"/>
    <mergeCell ref="R31:R32"/>
    <mergeCell ref="AD30:AE30"/>
    <mergeCell ref="AF30:AG30"/>
    <mergeCell ref="AH30:AI30"/>
    <mergeCell ref="AJ30:AK30"/>
    <mergeCell ref="AL30:AM30"/>
    <mergeCell ref="AN30:AO30"/>
    <mergeCell ref="C30:G30"/>
    <mergeCell ref="H30:L30"/>
    <mergeCell ref="M30:Q30"/>
    <mergeCell ref="R30:V30"/>
    <mergeCell ref="W30:AA30"/>
    <mergeCell ref="AB30:AC30"/>
    <mergeCell ref="AH31:AI33"/>
    <mergeCell ref="AJ31:AK33"/>
    <mergeCell ref="AL25:AL26"/>
    <mergeCell ref="AM25:AQ26"/>
    <mergeCell ref="AR25:AR26"/>
    <mergeCell ref="AS25:AS26"/>
    <mergeCell ref="B27:AR27"/>
    <mergeCell ref="C29:G29"/>
    <mergeCell ref="H29:L29"/>
    <mergeCell ref="M29:Q29"/>
    <mergeCell ref="R29:V29"/>
    <mergeCell ref="W29:AA29"/>
    <mergeCell ref="C25:M26"/>
    <mergeCell ref="N25:P26"/>
    <mergeCell ref="Q25:T26"/>
    <mergeCell ref="U25:V26"/>
    <mergeCell ref="W25:Z26"/>
    <mergeCell ref="AA25:AA26"/>
    <mergeCell ref="AB25:AB26"/>
    <mergeCell ref="AC25:AG26"/>
    <mergeCell ref="AH25:AH26"/>
    <mergeCell ref="AL21:AL22"/>
    <mergeCell ref="AM21:AQ22"/>
    <mergeCell ref="AR21:AR22"/>
    <mergeCell ref="AS21:AS22"/>
    <mergeCell ref="C23:M24"/>
    <mergeCell ref="N23:P24"/>
    <mergeCell ref="Q23:T24"/>
    <mergeCell ref="U23:V24"/>
    <mergeCell ref="W23:Z24"/>
    <mergeCell ref="AA23:AA24"/>
    <mergeCell ref="AS23:AS24"/>
    <mergeCell ref="AB23:AB24"/>
    <mergeCell ref="AC23:AG24"/>
    <mergeCell ref="AH23:AH24"/>
    <mergeCell ref="AL23:AL24"/>
    <mergeCell ref="AM23:AQ24"/>
    <mergeCell ref="AR23:AR24"/>
    <mergeCell ref="C21:M22"/>
    <mergeCell ref="N21:P22"/>
    <mergeCell ref="Q21:T22"/>
    <mergeCell ref="U21:V22"/>
    <mergeCell ref="W21:Z22"/>
    <mergeCell ref="AA21:AA22"/>
    <mergeCell ref="AB21:AB22"/>
    <mergeCell ref="AC21:AG22"/>
    <mergeCell ref="AH21:AH22"/>
    <mergeCell ref="AR17:AR18"/>
    <mergeCell ref="AS17:AS18"/>
    <mergeCell ref="C19:M20"/>
    <mergeCell ref="N19:P20"/>
    <mergeCell ref="Q19:T20"/>
    <mergeCell ref="U19:V20"/>
    <mergeCell ref="W19:Z20"/>
    <mergeCell ref="AA19:AA20"/>
    <mergeCell ref="AS19:AS20"/>
    <mergeCell ref="AB19:AB20"/>
    <mergeCell ref="AC19:AG20"/>
    <mergeCell ref="AH19:AH20"/>
    <mergeCell ref="AL19:AL20"/>
    <mergeCell ref="AM19:AQ20"/>
    <mergeCell ref="AR19:AR20"/>
    <mergeCell ref="AS15:AS16"/>
    <mergeCell ref="C17:M18"/>
    <mergeCell ref="N17:P18"/>
    <mergeCell ref="Q17:T18"/>
    <mergeCell ref="U17:V18"/>
    <mergeCell ref="W17:Z18"/>
    <mergeCell ref="AA17:AA18"/>
    <mergeCell ref="AB17:AB18"/>
    <mergeCell ref="AC17:AG18"/>
    <mergeCell ref="AH17:AH18"/>
    <mergeCell ref="AB15:AB16"/>
    <mergeCell ref="AC15:AG16"/>
    <mergeCell ref="AH15:AH16"/>
    <mergeCell ref="AL15:AL16"/>
    <mergeCell ref="AM15:AQ16"/>
    <mergeCell ref="AR15:AR16"/>
    <mergeCell ref="C15:M16"/>
    <mergeCell ref="N15:P16"/>
    <mergeCell ref="Q15:T16"/>
    <mergeCell ref="U15:V16"/>
    <mergeCell ref="W15:Z16"/>
    <mergeCell ref="AA15:AA16"/>
    <mergeCell ref="AL17:AL18"/>
    <mergeCell ref="AM17:AQ18"/>
    <mergeCell ref="AG10:AK10"/>
    <mergeCell ref="AN12:AO12"/>
    <mergeCell ref="AW13:AX13"/>
    <mergeCell ref="C14:M14"/>
    <mergeCell ref="AB14:AF14"/>
    <mergeCell ref="AM14:AR14"/>
    <mergeCell ref="F9:G9"/>
    <mergeCell ref="H9:L9"/>
    <mergeCell ref="M9:P9"/>
    <mergeCell ref="R9:S9"/>
    <mergeCell ref="Q10:S10"/>
    <mergeCell ref="Z10:AD10"/>
    <mergeCell ref="F7:G7"/>
    <mergeCell ref="H7:L7"/>
    <mergeCell ref="M7:P7"/>
    <mergeCell ref="R7:S7"/>
    <mergeCell ref="F8:G8"/>
    <mergeCell ref="H8:L8"/>
    <mergeCell ref="M8:P8"/>
    <mergeCell ref="R8:S8"/>
    <mergeCell ref="B1:AR1"/>
    <mergeCell ref="Y4:AD4"/>
    <mergeCell ref="AG4:AK4"/>
    <mergeCell ref="H5:P5"/>
    <mergeCell ref="R5:S5"/>
    <mergeCell ref="F6:G6"/>
    <mergeCell ref="H6:L6"/>
    <mergeCell ref="M6:P6"/>
    <mergeCell ref="R6:S6"/>
  </mergeCells>
  <phoneticPr fontId="2"/>
  <conditionalFormatting sqref="AI15:AI26 AK15:AK26">
    <cfRule type="cellIs" dxfId="71" priority="3" stopIfTrue="1" operator="equal">
      <formula>""</formula>
    </cfRule>
  </conditionalFormatting>
  <conditionalFormatting sqref="B1:AR1">
    <cfRule type="cellIs" dxfId="70" priority="4" stopIfTrue="1" operator="equal">
      <formula>""</formula>
    </cfRule>
    <cfRule type="cellIs" dxfId="69" priority="5" stopIfTrue="1" operator="equal">
      <formula>"ここへ「大会名」等を投入して下さい"</formula>
    </cfRule>
  </conditionalFormatting>
  <conditionalFormatting sqref="M6 H6:H9">
    <cfRule type="cellIs" dxfId="68" priority="2" stopIfTrue="1" operator="equal">
      <formula>""</formula>
    </cfRule>
  </conditionalFormatting>
  <conditionalFormatting sqref="M7:M9">
    <cfRule type="cellIs" dxfId="67" priority="1" stopIfTrue="1" operator="equal">
      <formula>""</formula>
    </cfRule>
  </conditionalFormatting>
  <dataValidations count="4">
    <dataValidation imeMode="hiragana" allowBlank="1" showInputMessage="1" showErrorMessage="1" sqref="B1"/>
    <dataValidation imeMode="off" allowBlank="1" showInputMessage="1" showErrorMessage="1" sqref="AI15:AK26"/>
    <dataValidation type="textLength" imeMode="hiragana" operator="lessThanOrEqual" allowBlank="1" showInputMessage="1" showErrorMessage="1" sqref="Z9:AA9 AG7 X9:Y10 Y6:AA6 AI7 W9 S10 V9:V10 W7 X6:X7 T7:U10">
      <formula1>8</formula1>
    </dataValidation>
    <dataValidation imeMode="hiragana" operator="lessThanOrEqual" allowBlank="1" showInputMessage="1" showErrorMessage="1" sqref="N10:O10 M6:M10 I10:L10 H6:H10"/>
  </dataValidations>
  <printOptions horizontalCentered="1"/>
  <pageMargins left="0.39370078740157483" right="0.39370078740157483" top="0.59055118110236227" bottom="0.66" header="0.43307086614173229" footer="0.51181102362204722"/>
  <pageSetup paperSize="9" scale="92" orientation="portrait" horizontalDpi="300" verticalDpi="300" r:id="rId1"/>
  <headerFooter alignWithMargins="0">
    <oddFooter>&amp;R&amp;6「リーグ君」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A86E5"/>
    <pageSetUpPr fitToPage="1"/>
  </sheetPr>
  <dimension ref="A1:AY45"/>
  <sheetViews>
    <sheetView showGridLines="0" topLeftCell="B1" zoomScale="85" zoomScaleNormal="85" workbookViewId="0">
      <selection activeCell="AA23" sqref="AA23:AA24"/>
    </sheetView>
  </sheetViews>
  <sheetFormatPr defaultColWidth="9" defaultRowHeight="13.5" x14ac:dyDescent="0.15"/>
  <cols>
    <col min="1" max="1" width="2.875" style="120" hidden="1" customWidth="1"/>
    <col min="2" max="2" width="9" style="120"/>
    <col min="3" max="3" width="2.5" style="120" customWidth="1"/>
    <col min="4" max="4" width="1.625" style="122" customWidth="1"/>
    <col min="5" max="5" width="1.25" style="120" customWidth="1"/>
    <col min="6" max="6" width="1.625" style="120" customWidth="1"/>
    <col min="7" max="8" width="2.5" style="120" customWidth="1"/>
    <col min="9" max="9" width="1.625" style="120" customWidth="1"/>
    <col min="10" max="10" width="1.25" style="120" customWidth="1"/>
    <col min="11" max="11" width="1.625" style="122" customWidth="1"/>
    <col min="12" max="13" width="2.5" style="120" customWidth="1"/>
    <col min="14" max="14" width="1.625" style="120" customWidth="1"/>
    <col min="15" max="15" width="1.25" style="122" customWidth="1"/>
    <col min="16" max="16" width="1.625" style="122" customWidth="1"/>
    <col min="17" max="18" width="2.5" style="120" customWidth="1"/>
    <col min="19" max="19" width="1.625" style="120" customWidth="1"/>
    <col min="20" max="20" width="1.25" style="122" customWidth="1"/>
    <col min="21" max="21" width="1.625" style="122" customWidth="1"/>
    <col min="22" max="23" width="2.5" style="120" customWidth="1"/>
    <col min="24" max="24" width="1.625" style="120" customWidth="1"/>
    <col min="25" max="25" width="1.25" style="122" customWidth="1"/>
    <col min="26" max="26" width="1.625" style="122" customWidth="1"/>
    <col min="27" max="27" width="2.5" style="122" customWidth="1"/>
    <col min="28" max="35" width="2.75" style="120" customWidth="1"/>
    <col min="36" max="36" width="2.75" style="121" customWidth="1"/>
    <col min="37" max="44" width="2.75" style="120" customWidth="1"/>
    <col min="45" max="45" width="4.125" style="120" hidden="1" customWidth="1"/>
    <col min="46" max="46" width="2.5" style="120" hidden="1" customWidth="1"/>
    <col min="47" max="47" width="2.75" style="120" hidden="1" customWidth="1"/>
    <col min="48" max="49" width="4.625" style="120" hidden="1" customWidth="1"/>
    <col min="50" max="50" width="6.5" style="120" hidden="1" customWidth="1"/>
    <col min="51" max="51" width="9" style="120" hidden="1" customWidth="1"/>
    <col min="52" max="16384" width="9" style="120"/>
  </cols>
  <sheetData>
    <row r="1" spans="1:51" ht="30.75" customHeight="1" x14ac:dyDescent="0.2">
      <c r="A1" s="141"/>
      <c r="B1" s="410" t="str">
        <f>[1]参加チーム!B1</f>
        <v>第２５回中国中学生ホッケー選手権大会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  <c r="AC1" s="410"/>
      <c r="AD1" s="410"/>
      <c r="AE1" s="410"/>
      <c r="AF1" s="410"/>
      <c r="AG1" s="410"/>
      <c r="AH1" s="410"/>
      <c r="AI1" s="410"/>
      <c r="AJ1" s="410"/>
      <c r="AK1" s="410"/>
      <c r="AL1" s="410"/>
      <c r="AM1" s="410"/>
      <c r="AN1" s="410"/>
      <c r="AO1" s="410"/>
      <c r="AP1" s="410"/>
      <c r="AQ1" s="410"/>
      <c r="AR1" s="410"/>
      <c r="AS1" s="234"/>
      <c r="AT1" s="141"/>
      <c r="AU1" s="141"/>
      <c r="AV1" s="141"/>
      <c r="AW1" s="141"/>
      <c r="AX1" s="141"/>
      <c r="AY1" s="140"/>
    </row>
    <row r="2" spans="1:51" ht="18" customHeight="1" x14ac:dyDescent="0.15">
      <c r="A2" s="141"/>
      <c r="B2" s="179"/>
      <c r="C2" s="179"/>
      <c r="D2" s="182"/>
      <c r="E2" s="179"/>
      <c r="F2" s="179"/>
      <c r="G2" s="179"/>
      <c r="H2" s="179"/>
      <c r="I2" s="179"/>
      <c r="J2" s="179"/>
      <c r="K2" s="182"/>
      <c r="L2" s="179"/>
      <c r="M2" s="179"/>
      <c r="N2" s="179"/>
      <c r="O2" s="182"/>
      <c r="P2" s="182"/>
      <c r="Q2" s="179"/>
      <c r="R2" s="179"/>
      <c r="S2" s="179"/>
      <c r="T2" s="182"/>
      <c r="U2" s="182"/>
      <c r="V2" s="179"/>
      <c r="W2" s="179"/>
      <c r="X2" s="179"/>
      <c r="Y2" s="182"/>
      <c r="Z2" s="182"/>
      <c r="AA2" s="182"/>
      <c r="AB2" s="175"/>
      <c r="AC2" s="179"/>
      <c r="AD2" s="219"/>
      <c r="AE2" s="219"/>
      <c r="AF2" s="219"/>
      <c r="AG2" s="219"/>
      <c r="AH2" s="175"/>
      <c r="AI2" s="175"/>
      <c r="AJ2" s="175"/>
      <c r="AK2" s="175"/>
      <c r="AL2" s="233"/>
      <c r="AM2" s="233"/>
      <c r="AN2" s="233"/>
      <c r="AO2" s="233"/>
      <c r="AP2" s="233"/>
      <c r="AQ2" s="233"/>
      <c r="AR2" s="233"/>
      <c r="AS2" s="232"/>
      <c r="AT2" s="141"/>
      <c r="AU2" s="141"/>
      <c r="AV2" s="141"/>
      <c r="AW2" s="141"/>
      <c r="AX2" s="141"/>
      <c r="AY2" s="140"/>
    </row>
    <row r="3" spans="1:51" x14ac:dyDescent="0.15">
      <c r="A3" s="141"/>
      <c r="B3" s="179"/>
      <c r="C3" s="179"/>
      <c r="D3" s="182"/>
      <c r="E3" s="179"/>
      <c r="F3" s="179"/>
      <c r="G3" s="179"/>
      <c r="H3" s="179"/>
      <c r="I3" s="179"/>
      <c r="J3" s="179"/>
      <c r="K3" s="182"/>
      <c r="L3" s="179"/>
      <c r="M3" s="179"/>
      <c r="N3" s="179"/>
      <c r="O3" s="182"/>
      <c r="P3" s="182"/>
      <c r="Q3" s="179"/>
      <c r="R3" s="179"/>
      <c r="S3" s="179"/>
      <c r="T3" s="182"/>
      <c r="U3" s="182"/>
      <c r="V3" s="207"/>
      <c r="W3" s="207"/>
      <c r="X3" s="207"/>
      <c r="Y3" s="182"/>
      <c r="Z3" s="182"/>
      <c r="AA3" s="182"/>
      <c r="AB3" s="191"/>
      <c r="AC3" s="207"/>
      <c r="AD3" s="207"/>
      <c r="AE3" s="179"/>
      <c r="AF3" s="256"/>
      <c r="AG3" s="179"/>
      <c r="AH3" s="191"/>
      <c r="AI3" s="191"/>
      <c r="AJ3" s="191"/>
      <c r="AK3" s="207"/>
      <c r="AL3" s="207"/>
      <c r="AM3" s="193"/>
      <c r="AN3" s="193"/>
      <c r="AO3" s="193"/>
      <c r="AP3" s="191"/>
      <c r="AQ3" s="175"/>
      <c r="AR3" s="175"/>
      <c r="AS3" s="141"/>
      <c r="AT3" s="141"/>
      <c r="AU3" s="141"/>
      <c r="AV3" s="141"/>
      <c r="AW3" s="141"/>
      <c r="AX3" s="141"/>
      <c r="AY3" s="140"/>
    </row>
    <row r="4" spans="1:51" ht="18.75" x14ac:dyDescent="0.2">
      <c r="A4" s="141"/>
      <c r="B4" s="179"/>
      <c r="C4" s="179"/>
      <c r="D4" s="182"/>
      <c r="E4" s="179"/>
      <c r="F4" s="259"/>
      <c r="G4" s="259"/>
      <c r="H4" s="258" t="s">
        <v>70</v>
      </c>
      <c r="I4" s="257"/>
      <c r="J4" s="257"/>
      <c r="K4" s="257"/>
      <c r="L4" s="257"/>
      <c r="M4" s="257"/>
      <c r="N4" s="257"/>
      <c r="O4" s="257"/>
      <c r="P4" s="257"/>
      <c r="Q4" s="175"/>
      <c r="R4" s="189"/>
      <c r="S4" s="189"/>
      <c r="T4" s="182"/>
      <c r="U4" s="182"/>
      <c r="V4" s="207"/>
      <c r="W4" s="207"/>
      <c r="X4" s="207"/>
      <c r="Y4" s="411" t="str">
        <f>VLOOKUP(AB5,$F$6:$Q$9,3,FALSE)</f>
        <v>横田中</v>
      </c>
      <c r="Z4" s="411"/>
      <c r="AA4" s="411"/>
      <c r="AB4" s="411"/>
      <c r="AC4" s="411"/>
      <c r="AD4" s="411"/>
      <c r="AE4" s="179"/>
      <c r="AF4" s="179"/>
      <c r="AG4" s="411" t="str">
        <f>VLOOKUP(AI5,$F$6:$Q$9,3,FALSE)</f>
        <v>高森み</v>
      </c>
      <c r="AH4" s="411"/>
      <c r="AI4" s="411"/>
      <c r="AJ4" s="411"/>
      <c r="AK4" s="411"/>
      <c r="AL4" s="193"/>
      <c r="AM4" s="193"/>
      <c r="AN4" s="193"/>
      <c r="AO4" s="228"/>
      <c r="AP4" s="191"/>
      <c r="AQ4" s="175"/>
      <c r="AR4" s="175"/>
      <c r="AS4" s="141"/>
      <c r="AT4" s="141"/>
      <c r="AU4" s="141"/>
      <c r="AV4" s="141"/>
      <c r="AW4" s="141"/>
      <c r="AX4" s="141"/>
      <c r="AY4" s="140"/>
    </row>
    <row r="5" spans="1:51" ht="15" customHeight="1" x14ac:dyDescent="0.15">
      <c r="A5" s="141"/>
      <c r="B5" s="179"/>
      <c r="C5" s="179"/>
      <c r="D5" s="182"/>
      <c r="E5" s="179"/>
      <c r="F5" s="255" t="s">
        <v>64</v>
      </c>
      <c r="G5" s="254"/>
      <c r="H5" s="412" t="s">
        <v>63</v>
      </c>
      <c r="I5" s="413"/>
      <c r="J5" s="413"/>
      <c r="K5" s="413"/>
      <c r="L5" s="413"/>
      <c r="M5" s="413"/>
      <c r="N5" s="413"/>
      <c r="O5" s="413"/>
      <c r="P5" s="413"/>
      <c r="Q5" s="253" t="s">
        <v>68</v>
      </c>
      <c r="R5" s="508"/>
      <c r="S5" s="508"/>
      <c r="T5" s="252"/>
      <c r="U5" s="225"/>
      <c r="V5" s="225"/>
      <c r="W5" s="225"/>
      <c r="X5" s="207"/>
      <c r="Y5" s="207"/>
      <c r="Z5" s="207"/>
      <c r="AA5" s="207"/>
      <c r="AB5" s="194">
        <v>8</v>
      </c>
      <c r="AC5" s="207"/>
      <c r="AD5" s="207"/>
      <c r="AE5" s="223">
        <v>1</v>
      </c>
      <c r="AF5" s="179"/>
      <c r="AG5" s="191"/>
      <c r="AH5" s="222"/>
      <c r="AI5" s="221">
        <v>4</v>
      </c>
      <c r="AJ5" s="175"/>
      <c r="AK5" s="191"/>
      <c r="AL5" s="191"/>
      <c r="AM5" s="191"/>
      <c r="AN5" s="191"/>
      <c r="AO5" s="191"/>
      <c r="AP5" s="191"/>
      <c r="AQ5" s="175"/>
      <c r="AR5" s="220"/>
      <c r="AS5" s="141"/>
      <c r="AT5" s="141"/>
      <c r="AU5" s="141"/>
      <c r="AV5" s="202"/>
      <c r="AW5" s="202"/>
      <c r="AX5" s="202"/>
      <c r="AY5" s="140"/>
    </row>
    <row r="6" spans="1:51" ht="20.25" customHeight="1" x14ac:dyDescent="0.15">
      <c r="A6" s="141"/>
      <c r="B6" s="179"/>
      <c r="C6" s="179"/>
      <c r="D6" s="182"/>
      <c r="E6" s="179"/>
      <c r="F6" s="539">
        <v>8</v>
      </c>
      <c r="G6" s="540" t="str">
        <f>Q6</f>
        <v>G3</v>
      </c>
      <c r="H6" s="417" t="str">
        <f>IF([1]参加チーム!$E$17=8,LEFT(VLOOKUP(F6,[1]参加チーム!$D$29:$F$36,3,FALSE),3),"")</f>
        <v>横田中</v>
      </c>
      <c r="I6" s="418"/>
      <c r="J6" s="418"/>
      <c r="K6" s="418"/>
      <c r="L6" s="418"/>
      <c r="M6" s="419" t="s">
        <v>62</v>
      </c>
      <c r="N6" s="419"/>
      <c r="O6" s="419"/>
      <c r="P6" s="419"/>
      <c r="Q6" s="218" t="str">
        <f>VLOOKUP(F6,[1]参加チーム!$D$29:$F$35,2,FALSE)</f>
        <v>G3</v>
      </c>
      <c r="R6" s="420"/>
      <c r="S6" s="420"/>
      <c r="T6" s="210"/>
      <c r="U6" s="209"/>
      <c r="V6" s="209"/>
      <c r="W6" s="209"/>
      <c r="X6" s="187"/>
      <c r="Y6" s="187"/>
      <c r="Z6" s="187"/>
      <c r="AA6" s="187"/>
      <c r="AB6" s="179"/>
      <c r="AC6" s="207"/>
      <c r="AD6" s="207"/>
      <c r="AE6" s="179"/>
      <c r="AF6" s="191"/>
      <c r="AG6" s="191"/>
      <c r="AH6" s="179"/>
      <c r="AI6" s="219"/>
      <c r="AJ6" s="219"/>
      <c r="AK6" s="219"/>
      <c r="AL6" s="219"/>
      <c r="AM6" s="191"/>
      <c r="AN6" s="191"/>
      <c r="AO6" s="191"/>
      <c r="AP6" s="191"/>
      <c r="AQ6" s="175"/>
      <c r="AR6" s="175"/>
      <c r="AS6" s="141"/>
      <c r="AT6" s="190">
        <f>IF(F6="","",F6)</f>
        <v>8</v>
      </c>
      <c r="AU6" s="141"/>
      <c r="AV6" s="202"/>
      <c r="AW6" s="202"/>
      <c r="AX6" s="202"/>
      <c r="AY6" s="140"/>
    </row>
    <row r="7" spans="1:51" ht="20.25" customHeight="1" x14ac:dyDescent="0.15">
      <c r="A7" s="141"/>
      <c r="B7" s="179"/>
      <c r="C7" s="179"/>
      <c r="D7" s="182"/>
      <c r="E7" s="179"/>
      <c r="F7" s="539">
        <v>4</v>
      </c>
      <c r="G7" s="540" t="e">
        <f>Q7</f>
        <v>#N/A</v>
      </c>
      <c r="H7" s="417" t="str">
        <f>IF([1]参加チーム!$E$17=8,LEFT(VLOOKUP(F7,[1]参加チーム!$D$29:$F$36,3,FALSE),3),"")</f>
        <v>高森み</v>
      </c>
      <c r="I7" s="418"/>
      <c r="J7" s="418"/>
      <c r="K7" s="418"/>
      <c r="L7" s="418"/>
      <c r="M7" s="419" t="s">
        <v>62</v>
      </c>
      <c r="N7" s="419"/>
      <c r="O7" s="419"/>
      <c r="P7" s="419"/>
      <c r="Q7" s="218" t="e">
        <f>VLOOKUP(F7,[1]参加チーム!$D$29:$F$35,2,FALSE)</f>
        <v>#N/A</v>
      </c>
      <c r="R7" s="420"/>
      <c r="S7" s="420"/>
      <c r="T7" s="210"/>
      <c r="U7" s="209"/>
      <c r="V7" s="209"/>
      <c r="W7" s="209"/>
      <c r="X7" s="187"/>
      <c r="Y7" s="182"/>
      <c r="Z7" s="217"/>
      <c r="AA7" s="216"/>
      <c r="AB7" s="215">
        <v>18</v>
      </c>
      <c r="AC7" s="181"/>
      <c r="AD7" s="214">
        <v>10</v>
      </c>
      <c r="AE7" s="191"/>
      <c r="AF7" s="207"/>
      <c r="AG7" s="213">
        <v>9</v>
      </c>
      <c r="AH7" s="191"/>
      <c r="AI7" s="213">
        <v>17</v>
      </c>
      <c r="AJ7" s="175"/>
      <c r="AK7" s="212"/>
      <c r="AL7" s="211"/>
      <c r="AM7" s="179"/>
      <c r="AN7" s="191"/>
      <c r="AO7" s="191"/>
      <c r="AP7" s="191"/>
      <c r="AQ7" s="175"/>
      <c r="AR7" s="179"/>
      <c r="AS7" s="141"/>
      <c r="AT7" s="190">
        <f>IF(F7="","",F7)</f>
        <v>4</v>
      </c>
      <c r="AU7" s="141"/>
      <c r="AV7" s="202"/>
      <c r="AW7" s="202"/>
      <c r="AX7" s="202"/>
      <c r="AY7" s="140"/>
    </row>
    <row r="8" spans="1:51" ht="20.25" customHeight="1" x14ac:dyDescent="0.15">
      <c r="A8" s="141"/>
      <c r="B8" s="179"/>
      <c r="C8" s="179"/>
      <c r="D8" s="182"/>
      <c r="E8" s="179"/>
      <c r="F8" s="539">
        <v>5</v>
      </c>
      <c r="G8" s="540" t="str">
        <f>Q8</f>
        <v>G2</v>
      </c>
      <c r="H8" s="417" t="str">
        <f>IF([1]参加チーム!$E$17=8,LEFT(VLOOKUP(F8,[1]参加チーム!$D$29:$F$36,3,FALSE),3),"")</f>
        <v>桜ヶ丘</v>
      </c>
      <c r="I8" s="418"/>
      <c r="J8" s="418"/>
      <c r="K8" s="418"/>
      <c r="L8" s="418"/>
      <c r="M8" s="419" t="s">
        <v>62</v>
      </c>
      <c r="N8" s="419"/>
      <c r="O8" s="419"/>
      <c r="P8" s="419"/>
      <c r="Q8" s="218" t="str">
        <f>VLOOKUP(F8,[1]参加チーム!$D$29:$F$35,2,FALSE)</f>
        <v>G2</v>
      </c>
      <c r="R8" s="420"/>
      <c r="S8" s="420"/>
      <c r="T8" s="210"/>
      <c r="U8" s="209"/>
      <c r="V8" s="209"/>
      <c r="W8" s="209"/>
      <c r="X8" s="192"/>
      <c r="Y8" s="192"/>
      <c r="Z8" s="192"/>
      <c r="AA8" s="192"/>
      <c r="AB8" s="179"/>
      <c r="AC8" s="208"/>
      <c r="AD8" s="207"/>
      <c r="AE8" s="207"/>
      <c r="AF8" s="205"/>
      <c r="AG8" s="206"/>
      <c r="AH8" s="205"/>
      <c r="AI8" s="191"/>
      <c r="AJ8" s="175"/>
      <c r="AK8" s="179"/>
      <c r="AL8" s="179"/>
      <c r="AM8" s="205"/>
      <c r="AN8" s="205"/>
      <c r="AO8" s="205"/>
      <c r="AP8" s="191"/>
      <c r="AQ8" s="179"/>
      <c r="AR8" s="204"/>
      <c r="AS8" s="203"/>
      <c r="AT8" s="190">
        <f>IF(F8="","",F8)</f>
        <v>5</v>
      </c>
      <c r="AU8" s="141"/>
      <c r="AV8" s="202"/>
      <c r="AW8" s="202"/>
      <c r="AX8" s="202"/>
      <c r="AY8" s="140"/>
    </row>
    <row r="9" spans="1:51" ht="20.25" customHeight="1" x14ac:dyDescent="0.15">
      <c r="A9" s="141"/>
      <c r="B9" s="179"/>
      <c r="C9" s="179"/>
      <c r="D9" s="182"/>
      <c r="E9" s="179"/>
      <c r="F9" s="539">
        <v>2</v>
      </c>
      <c r="G9" s="540" t="str">
        <f>Q9</f>
        <v>G5</v>
      </c>
      <c r="H9" s="417" t="str">
        <f>IF([1]参加チーム!$E$17=8,LEFT(VLOOKUP(F9,[1]参加チーム!$D$29:$F$36,3,FALSE),3),"")</f>
        <v>瀬戸中</v>
      </c>
      <c r="I9" s="418"/>
      <c r="J9" s="418"/>
      <c r="K9" s="418"/>
      <c r="L9" s="418"/>
      <c r="M9" s="419" t="s">
        <v>62</v>
      </c>
      <c r="N9" s="419"/>
      <c r="O9" s="419"/>
      <c r="P9" s="419"/>
      <c r="Q9" s="218" t="str">
        <f>VLOOKUP(F9,[1]参加チーム!$D$29:$F$35,2,FALSE)</f>
        <v>G5</v>
      </c>
      <c r="R9" s="420"/>
      <c r="S9" s="420"/>
      <c r="T9" s="210"/>
      <c r="U9" s="209"/>
      <c r="V9" s="209"/>
      <c r="W9" s="209"/>
      <c r="X9" s="187"/>
      <c r="Y9" s="187"/>
      <c r="Z9" s="187"/>
      <c r="AA9" s="187"/>
      <c r="AB9" s="198">
        <v>5</v>
      </c>
      <c r="AC9" s="197"/>
      <c r="AD9" s="196"/>
      <c r="AE9" s="179"/>
      <c r="AF9" s="195">
        <v>2</v>
      </c>
      <c r="AG9" s="179"/>
      <c r="AH9" s="186"/>
      <c r="AI9" s="194">
        <v>2</v>
      </c>
      <c r="AJ9" s="175"/>
      <c r="AK9" s="193"/>
      <c r="AL9" s="191"/>
      <c r="AM9" s="191"/>
      <c r="AN9" s="191"/>
      <c r="AO9" s="191"/>
      <c r="AP9" s="191"/>
      <c r="AQ9" s="175"/>
      <c r="AR9" s="175"/>
      <c r="AS9" s="141"/>
      <c r="AT9" s="190">
        <f>IF(F9="","",F9)</f>
        <v>2</v>
      </c>
      <c r="AU9" s="141"/>
      <c r="AV9" s="202"/>
      <c r="AW9" s="202"/>
      <c r="AX9" s="202"/>
      <c r="AY9" s="140"/>
    </row>
    <row r="10" spans="1:51" ht="20.25" customHeight="1" x14ac:dyDescent="0.15">
      <c r="A10" s="141"/>
      <c r="B10" s="179"/>
      <c r="C10" s="179"/>
      <c r="D10" s="182"/>
      <c r="E10" s="179"/>
      <c r="F10" s="254"/>
      <c r="G10" s="254">
        <f>Q10</f>
        <v>0</v>
      </c>
      <c r="H10" s="251"/>
      <c r="I10" s="251"/>
      <c r="J10" s="251"/>
      <c r="K10" s="251"/>
      <c r="L10" s="251"/>
      <c r="M10" s="251"/>
      <c r="N10" s="251"/>
      <c r="O10" s="251"/>
      <c r="P10" s="250">
        <f>COUNTA(H6:L9)</f>
        <v>4</v>
      </c>
      <c r="Q10" s="510"/>
      <c r="R10" s="510"/>
      <c r="S10" s="510"/>
      <c r="T10" s="187"/>
      <c r="U10" s="187"/>
      <c r="V10" s="187"/>
      <c r="W10" s="179"/>
      <c r="X10" s="187"/>
      <c r="Y10" s="187"/>
      <c r="Z10" s="422" t="str">
        <f>VLOOKUP(AB9,$F$6:$Q$9,3,FALSE)</f>
        <v>桜ヶ丘</v>
      </c>
      <c r="AA10" s="422"/>
      <c r="AB10" s="422"/>
      <c r="AC10" s="422"/>
      <c r="AD10" s="422"/>
      <c r="AE10" s="186"/>
      <c r="AF10" s="179"/>
      <c r="AG10" s="422" t="str">
        <f>VLOOKUP(AI9,$F$6:$Q$9,3,FALSE)</f>
        <v>瀬戸中</v>
      </c>
      <c r="AH10" s="422"/>
      <c r="AI10" s="422"/>
      <c r="AJ10" s="422"/>
      <c r="AK10" s="422"/>
      <c r="AL10" s="207"/>
      <c r="AM10" s="193" t="str">
        <f>IF(P10=3,AT8,"")</f>
        <v/>
      </c>
      <c r="AN10" s="193"/>
      <c r="AO10" s="193"/>
      <c r="AP10" s="207"/>
      <c r="AQ10" s="249"/>
      <c r="AR10" s="175"/>
      <c r="AS10" s="141"/>
      <c r="AT10" s="141"/>
      <c r="AU10" s="141"/>
      <c r="AV10" s="141"/>
      <c r="AW10" s="141"/>
      <c r="AX10" s="141"/>
      <c r="AY10" s="140"/>
    </row>
    <row r="11" spans="1:51" ht="26.25" customHeight="1" x14ac:dyDescent="0.15">
      <c r="A11" s="141"/>
      <c r="B11" s="179"/>
      <c r="C11" s="179"/>
      <c r="D11" s="182"/>
      <c r="E11" s="179"/>
      <c r="F11" s="179"/>
      <c r="G11" s="179"/>
      <c r="H11" s="179"/>
      <c r="I11" s="175"/>
      <c r="J11" s="248" t="s">
        <v>66</v>
      </c>
      <c r="K11" s="248"/>
      <c r="L11" s="248"/>
      <c r="M11" s="248"/>
      <c r="N11" s="175"/>
      <c r="O11" s="189"/>
      <c r="P11" s="182"/>
      <c r="Q11" s="175"/>
      <c r="R11" s="179"/>
      <c r="S11" s="220"/>
      <c r="T11" s="189"/>
      <c r="U11" s="189"/>
      <c r="V11" s="246"/>
      <c r="W11" s="179"/>
      <c r="X11" s="179"/>
      <c r="Y11" s="247"/>
      <c r="Z11" s="182"/>
      <c r="AA11" s="182"/>
      <c r="AB11" s="179"/>
      <c r="AC11" s="179"/>
      <c r="AD11" s="179"/>
      <c r="AE11" s="192"/>
      <c r="AF11" s="245"/>
      <c r="AG11" s="179"/>
      <c r="AH11" s="179"/>
      <c r="AI11" s="179"/>
      <c r="AJ11" s="175"/>
      <c r="AK11" s="179"/>
      <c r="AL11" s="205"/>
      <c r="AM11" s="246"/>
      <c r="AN11" s="246"/>
      <c r="AO11" s="245"/>
      <c r="AP11" s="244"/>
      <c r="AQ11" s="204"/>
      <c r="AR11" s="243"/>
      <c r="AS11" s="141"/>
      <c r="AT11" s="141"/>
      <c r="AU11" s="141"/>
      <c r="AV11" s="141"/>
      <c r="AW11" s="141"/>
      <c r="AX11" s="141"/>
      <c r="AY11" s="140"/>
    </row>
    <row r="12" spans="1:51" ht="13.5" customHeight="1" x14ac:dyDescent="0.15">
      <c r="A12" s="141"/>
      <c r="B12" s="179"/>
      <c r="C12" s="179"/>
      <c r="D12" s="182"/>
      <c r="E12" s="179"/>
      <c r="F12" s="179"/>
      <c r="G12" s="179"/>
      <c r="H12" s="179"/>
      <c r="I12" s="175"/>
      <c r="J12" s="175"/>
      <c r="K12" s="189"/>
      <c r="L12" s="175"/>
      <c r="M12" s="175"/>
      <c r="N12" s="175"/>
      <c r="O12" s="189"/>
      <c r="P12" s="189"/>
      <c r="Q12" s="178"/>
      <c r="R12" s="178"/>
      <c r="S12" s="178"/>
      <c r="T12" s="188"/>
      <c r="U12" s="188"/>
      <c r="V12" s="178"/>
      <c r="W12" s="176"/>
      <c r="X12" s="176"/>
      <c r="Y12" s="181"/>
      <c r="Z12" s="181"/>
      <c r="AA12" s="181"/>
      <c r="AB12" s="180"/>
      <c r="AC12" s="179"/>
      <c r="AD12" s="179"/>
      <c r="AE12" s="241"/>
      <c r="AF12" s="241"/>
      <c r="AG12" s="241"/>
      <c r="AH12" s="185"/>
      <c r="AI12" s="185"/>
      <c r="AJ12" s="242"/>
      <c r="AK12" s="185"/>
      <c r="AL12" s="185"/>
      <c r="AM12" s="185"/>
      <c r="AN12" s="423"/>
      <c r="AO12" s="423"/>
      <c r="AP12" s="184"/>
      <c r="AQ12" s="183"/>
      <c r="AR12" s="174"/>
      <c r="AS12" s="141"/>
      <c r="AT12" s="141"/>
      <c r="AU12" s="141"/>
      <c r="AV12" s="141"/>
      <c r="AW12" s="141"/>
      <c r="AX12" s="141"/>
      <c r="AY12" s="140"/>
    </row>
    <row r="13" spans="1:51" ht="12" customHeight="1" x14ac:dyDescent="0.15">
      <c r="A13" s="141"/>
      <c r="B13" s="241"/>
      <c r="C13" s="179"/>
      <c r="D13" s="182"/>
      <c r="E13" s="179"/>
      <c r="F13" s="179"/>
      <c r="G13" s="179"/>
      <c r="H13" s="179"/>
      <c r="I13" s="179"/>
      <c r="J13" s="179"/>
      <c r="K13" s="182"/>
      <c r="L13" s="179"/>
      <c r="M13" s="179"/>
      <c r="N13" s="179"/>
      <c r="O13" s="182"/>
      <c r="P13" s="182"/>
      <c r="Q13" s="176"/>
      <c r="R13" s="176"/>
      <c r="S13" s="176"/>
      <c r="T13" s="181"/>
      <c r="U13" s="181"/>
      <c r="V13" s="176"/>
      <c r="W13" s="176"/>
      <c r="X13" s="176"/>
      <c r="Y13" s="181"/>
      <c r="Z13" s="181"/>
      <c r="AA13" s="181"/>
      <c r="AB13" s="180"/>
      <c r="AC13" s="179"/>
      <c r="AD13" s="179"/>
      <c r="AE13" s="177"/>
      <c r="AF13" s="177"/>
      <c r="AG13" s="177"/>
      <c r="AH13" s="176"/>
      <c r="AI13" s="176"/>
      <c r="AJ13" s="178"/>
      <c r="AK13" s="177"/>
      <c r="AL13" s="176"/>
      <c r="AM13" s="175"/>
      <c r="AN13" s="175"/>
      <c r="AO13" s="175"/>
      <c r="AP13" s="175"/>
      <c r="AQ13" s="175"/>
      <c r="AR13" s="174"/>
      <c r="AS13" s="141"/>
      <c r="AT13" s="141" t="s">
        <v>61</v>
      </c>
      <c r="AU13" s="141"/>
      <c r="AV13" s="173">
        <v>4</v>
      </c>
      <c r="AW13" s="509" t="s">
        <v>49</v>
      </c>
      <c r="AX13" s="509"/>
      <c r="AY13" s="140"/>
    </row>
    <row r="14" spans="1:51" x14ac:dyDescent="0.15">
      <c r="A14" s="172"/>
      <c r="B14" s="171" t="s">
        <v>60</v>
      </c>
      <c r="C14" s="412" t="s">
        <v>59</v>
      </c>
      <c r="D14" s="413"/>
      <c r="E14" s="413"/>
      <c r="F14" s="413"/>
      <c r="G14" s="413"/>
      <c r="H14" s="413"/>
      <c r="I14" s="413"/>
      <c r="J14" s="413"/>
      <c r="K14" s="413"/>
      <c r="L14" s="413"/>
      <c r="M14" s="413"/>
      <c r="N14" s="170" t="s">
        <v>58</v>
      </c>
      <c r="O14" s="169"/>
      <c r="P14" s="169"/>
      <c r="Q14" s="170"/>
      <c r="R14" s="170" t="s">
        <v>39</v>
      </c>
      <c r="S14" s="170"/>
      <c r="T14" s="169"/>
      <c r="U14" s="169"/>
      <c r="V14" s="170"/>
      <c r="W14" s="170"/>
      <c r="X14" s="170"/>
      <c r="Y14" s="169"/>
      <c r="Z14" s="169"/>
      <c r="AA14" s="169"/>
      <c r="AB14" s="413" t="s">
        <v>87</v>
      </c>
      <c r="AC14" s="413"/>
      <c r="AD14" s="413"/>
      <c r="AE14" s="413"/>
      <c r="AF14" s="413"/>
      <c r="AG14" s="168"/>
      <c r="AH14" s="167" t="s">
        <v>49</v>
      </c>
      <c r="AI14" s="167"/>
      <c r="AJ14" s="168"/>
      <c r="AK14" s="167"/>
      <c r="AL14" s="167"/>
      <c r="AM14" s="413" t="s">
        <v>87</v>
      </c>
      <c r="AN14" s="413"/>
      <c r="AO14" s="413"/>
      <c r="AP14" s="413"/>
      <c r="AQ14" s="413"/>
      <c r="AR14" s="436"/>
      <c r="AS14" s="166"/>
      <c r="AT14" s="141" t="s">
        <v>88</v>
      </c>
      <c r="AU14" s="165" t="s">
        <v>89</v>
      </c>
      <c r="AV14" s="141"/>
      <c r="AW14" s="141" t="s">
        <v>56</v>
      </c>
      <c r="AX14" s="141" t="s">
        <v>55</v>
      </c>
      <c r="AY14" s="140"/>
    </row>
    <row r="15" spans="1:51" ht="14.25" customHeight="1" x14ac:dyDescent="0.15">
      <c r="A15" s="159"/>
      <c r="B15" s="158">
        <f>[1]参加チーム!$J$5</f>
        <v>43672</v>
      </c>
      <c r="C15" s="437" t="str">
        <f>IF(MOD(N15,2)=0,"B","A")&amp;"　コート"</f>
        <v>A　コート</v>
      </c>
      <c r="D15" s="438"/>
      <c r="E15" s="438"/>
      <c r="F15" s="438"/>
      <c r="G15" s="438"/>
      <c r="H15" s="438"/>
      <c r="I15" s="438"/>
      <c r="J15" s="438"/>
      <c r="K15" s="438"/>
      <c r="L15" s="438"/>
      <c r="M15" s="438"/>
      <c r="N15" s="441">
        <v>1</v>
      </c>
      <c r="O15" s="441"/>
      <c r="P15" s="441"/>
      <c r="Q15" s="443" t="str">
        <f>VLOOKUP(N15,[1]リスト!$C$2:$F$34,2,FALSE)</f>
        <v>14：00</v>
      </c>
      <c r="R15" s="443"/>
      <c r="S15" s="443"/>
      <c r="T15" s="443"/>
      <c r="U15" s="445" t="s">
        <v>7</v>
      </c>
      <c r="V15" s="445"/>
      <c r="W15" s="447"/>
      <c r="X15" s="447"/>
      <c r="Y15" s="447"/>
      <c r="Z15" s="447"/>
      <c r="AA15" s="449">
        <f>IF($P$10=4,AT15,"")</f>
        <v>8</v>
      </c>
      <c r="AB15" s="451" t="str">
        <f>VLOOKUP(AT15,$F$6:$Q$9,12,FALSE)</f>
        <v>G3</v>
      </c>
      <c r="AC15" s="424" t="str">
        <f>IF([1]参加チーム!$E$17=8,LEFT(VLOOKUP($N15,[1]参加チーム!$J$21:$Q$56,5,FALSE),3),"")</f>
        <v>横田中</v>
      </c>
      <c r="AD15" s="424" t="str">
        <f>IF($P$9=3,VLOOKUP(AC15,$G$6:$S$9,2,FALSE),"")</f>
        <v/>
      </c>
      <c r="AE15" s="424" t="str">
        <f>IF($P$9=3,VLOOKUP(AD15,$G$6:$S$9,2,FALSE),"")</f>
        <v/>
      </c>
      <c r="AF15" s="424" t="str">
        <f>IF($P$9=3,VLOOKUP(AE15,$G$6:$S$9,2,FALSE),"")</f>
        <v/>
      </c>
      <c r="AG15" s="424" t="str">
        <f>IF($P$9=3,VLOOKUP(AF15,$G$6:$S$9,2,FALSE),"")</f>
        <v/>
      </c>
      <c r="AH15" s="426">
        <f>IF(AI15="","",SUM(AI15:AI16))</f>
        <v>20</v>
      </c>
      <c r="AI15" s="156">
        <f>IF(日程・対戦記録表!Q7="","",日程・対戦記録表!Q7)</f>
        <v>9</v>
      </c>
      <c r="AJ15" s="157" t="s">
        <v>54</v>
      </c>
      <c r="AK15" s="240">
        <f>IF(日程・対戦記録表!R7="","",日程・対戦記録表!R7)</f>
        <v>0</v>
      </c>
      <c r="AL15" s="428">
        <f>IF(AK15="","",SUM(AK15:AK16))</f>
        <v>0</v>
      </c>
      <c r="AM15" s="430" t="str">
        <f>IF([1]参加チーム!$E$17=8,LEFT(VLOOKUP($N15,[1]参加チーム!$J$21:$Q$56,8,FALSE),3),"")</f>
        <v>高森み</v>
      </c>
      <c r="AN15" s="430" t="str">
        <f>IF($P$9=3,VLOOKUP(AM15,$G$6:$S$9,2,FALSE),"")</f>
        <v/>
      </c>
      <c r="AO15" s="430" t="str">
        <f>IF($P$9=3,VLOOKUP(AN15,$G$6:$S$9,2,FALSE),"")</f>
        <v/>
      </c>
      <c r="AP15" s="430" t="str">
        <f>IF($P$9=3,VLOOKUP(AO15,$G$6:$S$9,2,FALSE),"")</f>
        <v/>
      </c>
      <c r="AQ15" s="430" t="str">
        <f>IF($P$9=3,VLOOKUP(AP15,$G$6:$S$9,2,FALSE),"")</f>
        <v/>
      </c>
      <c r="AR15" s="432" t="e">
        <f>VLOOKUP(AU15,$F$6:$Q$9,12,FALSE)</f>
        <v>#N/A</v>
      </c>
      <c r="AS15" s="434">
        <f>IF($P$10=4,AU15,"")</f>
        <v>4</v>
      </c>
      <c r="AT15" s="164">
        <v>8</v>
      </c>
      <c r="AU15" s="163">
        <v>4</v>
      </c>
      <c r="AV15" s="155" t="str">
        <f>AT15&amp;AU15</f>
        <v>84</v>
      </c>
      <c r="AW15" s="155">
        <f>IF(AI15="","",AI15)</f>
        <v>9</v>
      </c>
      <c r="AX15" s="155">
        <f>IF(AI16="","",AI16)</f>
        <v>11</v>
      </c>
      <c r="AY15" s="140"/>
    </row>
    <row r="16" spans="1:51" ht="13.5" customHeight="1" x14ac:dyDescent="0.15">
      <c r="A16" s="154" t="str">
        <f>IF(A15="","",WEEKDAY(A15))</f>
        <v/>
      </c>
      <c r="B16" s="160">
        <f>IF(B15="","",WEEKDAY(B15))</f>
        <v>6</v>
      </c>
      <c r="C16" s="439"/>
      <c r="D16" s="440"/>
      <c r="E16" s="440"/>
      <c r="F16" s="440"/>
      <c r="G16" s="440"/>
      <c r="H16" s="440"/>
      <c r="I16" s="440"/>
      <c r="J16" s="440"/>
      <c r="K16" s="440"/>
      <c r="L16" s="440"/>
      <c r="M16" s="440"/>
      <c r="N16" s="442"/>
      <c r="O16" s="442"/>
      <c r="P16" s="442"/>
      <c r="Q16" s="444"/>
      <c r="R16" s="444"/>
      <c r="S16" s="444"/>
      <c r="T16" s="444"/>
      <c r="U16" s="446"/>
      <c r="V16" s="446"/>
      <c r="W16" s="448"/>
      <c r="X16" s="448"/>
      <c r="Y16" s="448"/>
      <c r="Z16" s="448"/>
      <c r="AA16" s="450"/>
      <c r="AB16" s="452"/>
      <c r="AC16" s="425"/>
      <c r="AD16" s="425"/>
      <c r="AE16" s="425"/>
      <c r="AF16" s="425"/>
      <c r="AG16" s="425"/>
      <c r="AH16" s="427"/>
      <c r="AI16" s="151">
        <f>IF(日程・対戦記録表!Q8="","",日程・対戦記録表!Q8)</f>
        <v>11</v>
      </c>
      <c r="AJ16" s="152" t="s">
        <v>54</v>
      </c>
      <c r="AK16" s="239">
        <f>IF(日程・対戦記録表!R8="","",日程・対戦記録表!R8)</f>
        <v>0</v>
      </c>
      <c r="AL16" s="429"/>
      <c r="AM16" s="431"/>
      <c r="AN16" s="431"/>
      <c r="AO16" s="431"/>
      <c r="AP16" s="431"/>
      <c r="AQ16" s="431"/>
      <c r="AR16" s="433"/>
      <c r="AS16" s="435"/>
      <c r="AT16" s="162"/>
      <c r="AU16" s="161"/>
      <c r="AV16" s="149" t="str">
        <f>AU15&amp;AT15</f>
        <v>48</v>
      </c>
      <c r="AW16" s="149">
        <f>IF(AK15="","",AK15)</f>
        <v>0</v>
      </c>
      <c r="AX16" s="149">
        <f>IF(AK16="","",AK16)</f>
        <v>0</v>
      </c>
      <c r="AY16" s="140"/>
    </row>
    <row r="17" spans="1:51" ht="13.5" customHeight="1" x14ac:dyDescent="0.15">
      <c r="A17" s="159"/>
      <c r="B17" s="158">
        <f>[1]参加チーム!$J$5</f>
        <v>43672</v>
      </c>
      <c r="C17" s="437" t="str">
        <f>IF(MOD(N17,2)=0,"B","A")&amp;"　コート"</f>
        <v>B　コート</v>
      </c>
      <c r="D17" s="438"/>
      <c r="E17" s="438"/>
      <c r="F17" s="438"/>
      <c r="G17" s="438"/>
      <c r="H17" s="438"/>
      <c r="I17" s="438"/>
      <c r="J17" s="438"/>
      <c r="K17" s="438"/>
      <c r="L17" s="438"/>
      <c r="M17" s="438"/>
      <c r="N17" s="441">
        <v>2</v>
      </c>
      <c r="O17" s="441"/>
      <c r="P17" s="441"/>
      <c r="Q17" s="443" t="str">
        <f>VLOOKUP(N17,[1]リスト!$C$2:$F$34,2,FALSE)</f>
        <v>14：00</v>
      </c>
      <c r="R17" s="443"/>
      <c r="S17" s="443"/>
      <c r="T17" s="443"/>
      <c r="U17" s="445" t="s">
        <v>93</v>
      </c>
      <c r="V17" s="445"/>
      <c r="W17" s="447"/>
      <c r="X17" s="447"/>
      <c r="Y17" s="447"/>
      <c r="Z17" s="447"/>
      <c r="AA17" s="449">
        <f>IF($P$10=4,AT17,"")</f>
        <v>5</v>
      </c>
      <c r="AB17" s="451" t="str">
        <f>VLOOKUP(AT17,$F$6:$Q$9,12,FALSE)</f>
        <v>G2</v>
      </c>
      <c r="AC17" s="424" t="str">
        <f>IF([1]参加チーム!$E$17=8,LEFT(VLOOKUP($N17,[1]参加チーム!$J$21:$Q$56,5,FALSE),3),"")</f>
        <v>桜ヶ丘</v>
      </c>
      <c r="AD17" s="424" t="str">
        <f>IF($P$9=3,VLOOKUP(AC17,$G$6:$S$9,2,FALSE),"")</f>
        <v/>
      </c>
      <c r="AE17" s="424" t="str">
        <f>IF($P$9=3,VLOOKUP(AD17,$G$6:$S$9,2,FALSE),"")</f>
        <v/>
      </c>
      <c r="AF17" s="424" t="str">
        <f>IF($P$9=3,VLOOKUP(AE17,$G$6:$S$9,2,FALSE),"")</f>
        <v/>
      </c>
      <c r="AG17" s="424" t="str">
        <f>IF($P$9=3,VLOOKUP(AF17,$G$6:$S$9,2,FALSE),"")</f>
        <v/>
      </c>
      <c r="AH17" s="426">
        <f>IF(AI17="","",SUM(AI17:AI18))</f>
        <v>0</v>
      </c>
      <c r="AI17" s="156">
        <f>IF(日程・対戦記録表!AH7="","",日程・対戦記録表!AH7)</f>
        <v>0</v>
      </c>
      <c r="AJ17" s="157" t="s">
        <v>94</v>
      </c>
      <c r="AK17" s="240">
        <f>IF(日程・対戦記録表!AI7="","",日程・対戦記録表!AI7)</f>
        <v>5</v>
      </c>
      <c r="AL17" s="428">
        <f>IF(AK17="","",SUM(AK17:AK18))</f>
        <v>5</v>
      </c>
      <c r="AM17" s="430" t="str">
        <f>IF([1]参加チーム!$E$17=8,LEFT(VLOOKUP($N17,[1]参加チーム!$J$21:$Q$56,8,FALSE),3),"")</f>
        <v>瀬戸中</v>
      </c>
      <c r="AN17" s="430" t="str">
        <f>IF($P$9=3,VLOOKUP(AM17,$G$6:$S$9,2,FALSE),"")</f>
        <v/>
      </c>
      <c r="AO17" s="430" t="str">
        <f>IF($P$9=3,VLOOKUP(AN17,$G$6:$S$9,2,FALSE),"")</f>
        <v/>
      </c>
      <c r="AP17" s="430" t="str">
        <f>IF($P$9=3,VLOOKUP(AO17,$G$6:$S$9,2,FALSE),"")</f>
        <v/>
      </c>
      <c r="AQ17" s="430" t="str">
        <f>IF($P$9=3,VLOOKUP(AP17,$G$6:$S$9,2,FALSE),"")</f>
        <v/>
      </c>
      <c r="AR17" s="432" t="str">
        <f>VLOOKUP(AU17,$F$6:$Q$9,12,FALSE)</f>
        <v>G5</v>
      </c>
      <c r="AS17" s="434">
        <f>IF($P$10=4,AU17,"")</f>
        <v>2</v>
      </c>
      <c r="AT17" s="150">
        <v>5</v>
      </c>
      <c r="AU17" s="150">
        <v>2</v>
      </c>
      <c r="AV17" s="141" t="str">
        <f>AT17&amp;AU17</f>
        <v>52</v>
      </c>
      <c r="AW17" s="155">
        <f>IF(AI17="","",AI17)</f>
        <v>0</v>
      </c>
      <c r="AX17" s="155">
        <f>IF(AI18="","",AI18)</f>
        <v>0</v>
      </c>
      <c r="AY17" s="140"/>
    </row>
    <row r="18" spans="1:51" ht="13.5" customHeight="1" x14ac:dyDescent="0.15">
      <c r="A18" s="154" t="str">
        <f>IF(A17="","",WEEKDAY(A17))</f>
        <v/>
      </c>
      <c r="B18" s="160">
        <f>IF(B17="","",WEEKDAY(B17))</f>
        <v>6</v>
      </c>
      <c r="C18" s="439"/>
      <c r="D18" s="440"/>
      <c r="E18" s="440"/>
      <c r="F18" s="440"/>
      <c r="G18" s="440"/>
      <c r="H18" s="440"/>
      <c r="I18" s="440"/>
      <c r="J18" s="440"/>
      <c r="K18" s="440"/>
      <c r="L18" s="440"/>
      <c r="M18" s="440"/>
      <c r="N18" s="442"/>
      <c r="O18" s="442"/>
      <c r="P18" s="442"/>
      <c r="Q18" s="444"/>
      <c r="R18" s="444"/>
      <c r="S18" s="444"/>
      <c r="T18" s="444"/>
      <c r="U18" s="446"/>
      <c r="V18" s="446"/>
      <c r="W18" s="448"/>
      <c r="X18" s="448"/>
      <c r="Y18" s="448"/>
      <c r="Z18" s="448"/>
      <c r="AA18" s="450"/>
      <c r="AB18" s="452"/>
      <c r="AC18" s="425"/>
      <c r="AD18" s="425"/>
      <c r="AE18" s="425"/>
      <c r="AF18" s="425"/>
      <c r="AG18" s="425"/>
      <c r="AH18" s="427"/>
      <c r="AI18" s="151">
        <f>IF(日程・対戦記録表!AH8="","",日程・対戦記録表!AH8)</f>
        <v>0</v>
      </c>
      <c r="AJ18" s="152" t="s">
        <v>94</v>
      </c>
      <c r="AK18" s="239">
        <f>IF(日程・対戦記録表!AI8="","",日程・対戦記録表!AI8)</f>
        <v>0</v>
      </c>
      <c r="AL18" s="429"/>
      <c r="AM18" s="431"/>
      <c r="AN18" s="431"/>
      <c r="AO18" s="431"/>
      <c r="AP18" s="431"/>
      <c r="AQ18" s="431"/>
      <c r="AR18" s="433"/>
      <c r="AS18" s="435"/>
      <c r="AT18" s="150"/>
      <c r="AU18" s="150"/>
      <c r="AV18" s="141" t="str">
        <f>AU17&amp;AT17</f>
        <v>25</v>
      </c>
      <c r="AW18" s="149">
        <f>IF(AK17="","",AK17)</f>
        <v>5</v>
      </c>
      <c r="AX18" s="149">
        <f>IF(AK18="","",AK18)</f>
        <v>0</v>
      </c>
      <c r="AY18" s="140"/>
    </row>
    <row r="19" spans="1:51" ht="13.5" customHeight="1" x14ac:dyDescent="0.15">
      <c r="A19" s="159"/>
      <c r="B19" s="158">
        <f>[1]参加チーム!$J$5+1</f>
        <v>43673</v>
      </c>
      <c r="C19" s="437" t="str">
        <f>IF(MOD(N19,2)=0,"B","A")&amp;"　コート"</f>
        <v>A　コート</v>
      </c>
      <c r="D19" s="438"/>
      <c r="E19" s="438"/>
      <c r="F19" s="438"/>
      <c r="G19" s="438"/>
      <c r="H19" s="438"/>
      <c r="I19" s="438"/>
      <c r="J19" s="438"/>
      <c r="K19" s="438"/>
      <c r="L19" s="438"/>
      <c r="M19" s="438"/>
      <c r="N19" s="441">
        <v>9</v>
      </c>
      <c r="O19" s="441"/>
      <c r="P19" s="441"/>
      <c r="Q19" s="443" t="str">
        <f>VLOOKUP(N19,[1]リスト!$C$2:$F$34,2,FALSE)</f>
        <v>10：00</v>
      </c>
      <c r="R19" s="443"/>
      <c r="S19" s="443"/>
      <c r="T19" s="443"/>
      <c r="U19" s="445" t="s">
        <v>103</v>
      </c>
      <c r="V19" s="445"/>
      <c r="W19" s="447"/>
      <c r="X19" s="447"/>
      <c r="Y19" s="447"/>
      <c r="Z19" s="447"/>
      <c r="AA19" s="449">
        <f>IF($P$10=4,AT19,"")</f>
        <v>4</v>
      </c>
      <c r="AB19" s="451" t="e">
        <f>VLOOKUP(AT19,$F$6:$Q$9,12,FALSE)</f>
        <v>#N/A</v>
      </c>
      <c r="AC19" s="424" t="str">
        <f>IF([1]参加チーム!$E$17=8,LEFT(VLOOKUP($N19,[1]参加チーム!$J$21:$Q$56,5,FALSE),3),"")</f>
        <v>高森み</v>
      </c>
      <c r="AD19" s="424" t="str">
        <f>IF($P$9=3,VLOOKUP(AC19,$G$6:$S$9,2,FALSE),"")</f>
        <v/>
      </c>
      <c r="AE19" s="424" t="str">
        <f>IF($P$9=3,VLOOKUP(AD19,$G$6:$S$9,2,FALSE),"")</f>
        <v/>
      </c>
      <c r="AF19" s="424" t="str">
        <f>IF($P$9=3,VLOOKUP(AE19,$G$6:$S$9,2,FALSE),"")</f>
        <v/>
      </c>
      <c r="AG19" s="424" t="str">
        <f>IF($P$9=3,VLOOKUP(AF19,$G$6:$S$9,2,FALSE),"")</f>
        <v/>
      </c>
      <c r="AH19" s="426">
        <f>IF(AI19="","",SUM(AI19:AI20))</f>
        <v>0</v>
      </c>
      <c r="AI19" s="156">
        <f>IF(日程・対戦記録表!Q20="","",日程・対戦記録表!Q20)</f>
        <v>0</v>
      </c>
      <c r="AJ19" s="157" t="s">
        <v>104</v>
      </c>
      <c r="AK19" s="240">
        <f>IF(日程・対戦記録表!R20="","",日程・対戦記録表!R20)</f>
        <v>0</v>
      </c>
      <c r="AL19" s="428">
        <f>IF(AK19="","",SUM(AK19:AK20))</f>
        <v>4</v>
      </c>
      <c r="AM19" s="430" t="str">
        <f>IF([1]参加チーム!$E$17=8,LEFT(VLOOKUP($N19,[1]参加チーム!$J$21:$Q$56,8,FALSE),3),"")</f>
        <v>桜ヶ丘</v>
      </c>
      <c r="AN19" s="430" t="str">
        <f>IF($P$9=3,VLOOKUP(AM19,$G$6:$S$9,2,FALSE),"")</f>
        <v/>
      </c>
      <c r="AO19" s="430" t="str">
        <f>IF($P$9=3,VLOOKUP(AN19,$G$6:$S$9,2,FALSE),"")</f>
        <v/>
      </c>
      <c r="AP19" s="430" t="str">
        <f>IF($P$9=3,VLOOKUP(AO19,$G$6:$S$9,2,FALSE),"")</f>
        <v/>
      </c>
      <c r="AQ19" s="430" t="str">
        <f>IF($P$9=3,VLOOKUP(AP19,$G$6:$S$9,2,FALSE),"")</f>
        <v/>
      </c>
      <c r="AR19" s="432" t="str">
        <f>VLOOKUP(AU19,$F$6:$Q$9,12,FALSE)</f>
        <v>G2</v>
      </c>
      <c r="AS19" s="434">
        <f>IF($P$10=4,AU19,"")</f>
        <v>5</v>
      </c>
      <c r="AT19" s="150">
        <v>4</v>
      </c>
      <c r="AU19" s="150">
        <v>5</v>
      </c>
      <c r="AV19" s="141" t="str">
        <f>AT19&amp;AU19</f>
        <v>45</v>
      </c>
      <c r="AW19" s="155">
        <f>IF(AI19="","",AI19)</f>
        <v>0</v>
      </c>
      <c r="AX19" s="155">
        <f>IF(AI20="","",AI20)</f>
        <v>0</v>
      </c>
      <c r="AY19" s="140"/>
    </row>
    <row r="20" spans="1:51" ht="13.5" customHeight="1" x14ac:dyDescent="0.15">
      <c r="A20" s="154" t="str">
        <f>IF(A19="","",WEEKDAY(A19))</f>
        <v/>
      </c>
      <c r="B20" s="160">
        <f>IF(B19="","",WEEKDAY(B19))</f>
        <v>7</v>
      </c>
      <c r="C20" s="439"/>
      <c r="D20" s="440"/>
      <c r="E20" s="440"/>
      <c r="F20" s="440"/>
      <c r="G20" s="440"/>
      <c r="H20" s="440"/>
      <c r="I20" s="440"/>
      <c r="J20" s="440"/>
      <c r="K20" s="440"/>
      <c r="L20" s="440"/>
      <c r="M20" s="440"/>
      <c r="N20" s="442"/>
      <c r="O20" s="442"/>
      <c r="P20" s="442"/>
      <c r="Q20" s="444"/>
      <c r="R20" s="444"/>
      <c r="S20" s="444"/>
      <c r="T20" s="444"/>
      <c r="U20" s="446"/>
      <c r="V20" s="446"/>
      <c r="W20" s="448"/>
      <c r="X20" s="448"/>
      <c r="Y20" s="448"/>
      <c r="Z20" s="448"/>
      <c r="AA20" s="450"/>
      <c r="AB20" s="452"/>
      <c r="AC20" s="425"/>
      <c r="AD20" s="425"/>
      <c r="AE20" s="425"/>
      <c r="AF20" s="425"/>
      <c r="AG20" s="425"/>
      <c r="AH20" s="427"/>
      <c r="AI20" s="151">
        <f>IF(日程・対戦記録表!Q21="","",日程・対戦記録表!Q21)</f>
        <v>0</v>
      </c>
      <c r="AJ20" s="152" t="s">
        <v>104</v>
      </c>
      <c r="AK20" s="239">
        <f>IF(日程・対戦記録表!R21="","",日程・対戦記録表!R21)</f>
        <v>4</v>
      </c>
      <c r="AL20" s="429"/>
      <c r="AM20" s="431"/>
      <c r="AN20" s="431"/>
      <c r="AO20" s="431"/>
      <c r="AP20" s="431"/>
      <c r="AQ20" s="431"/>
      <c r="AR20" s="433"/>
      <c r="AS20" s="435"/>
      <c r="AT20" s="150"/>
      <c r="AU20" s="150"/>
      <c r="AV20" s="141" t="str">
        <f>AU19&amp;AT19</f>
        <v>54</v>
      </c>
      <c r="AW20" s="149">
        <f>IF(AK19="","",AK19)</f>
        <v>0</v>
      </c>
      <c r="AX20" s="149">
        <f>IF(AK20="","",AK20)</f>
        <v>4</v>
      </c>
      <c r="AY20" s="140"/>
    </row>
    <row r="21" spans="1:51" ht="13.5" customHeight="1" x14ac:dyDescent="0.15">
      <c r="A21" s="159"/>
      <c r="B21" s="158">
        <f>[1]参加チーム!$J$5+1</f>
        <v>43673</v>
      </c>
      <c r="C21" s="437" t="str">
        <f>IF(MOD(N21,2)=0,"B","A")&amp;"　コート"</f>
        <v>B　コート</v>
      </c>
      <c r="D21" s="438"/>
      <c r="E21" s="438"/>
      <c r="F21" s="438"/>
      <c r="G21" s="438"/>
      <c r="H21" s="438"/>
      <c r="I21" s="438"/>
      <c r="J21" s="438"/>
      <c r="K21" s="438"/>
      <c r="L21" s="438"/>
      <c r="M21" s="438"/>
      <c r="N21" s="441">
        <v>10</v>
      </c>
      <c r="O21" s="441"/>
      <c r="P21" s="441"/>
      <c r="Q21" s="443" t="str">
        <f>VLOOKUP(N21,[1]リスト!$C$2:$F$34,2,FALSE)</f>
        <v>10：00</v>
      </c>
      <c r="R21" s="443"/>
      <c r="S21" s="443"/>
      <c r="T21" s="443"/>
      <c r="U21" s="445" t="s">
        <v>93</v>
      </c>
      <c r="V21" s="445"/>
      <c r="W21" s="447"/>
      <c r="X21" s="447"/>
      <c r="Y21" s="447"/>
      <c r="Z21" s="447"/>
      <c r="AA21" s="449">
        <f>IF($P$10=4,AT21,"")</f>
        <v>8</v>
      </c>
      <c r="AB21" s="451" t="str">
        <f>VLOOKUP(AT21,$F$6:$Q$9,12,FALSE)</f>
        <v>G3</v>
      </c>
      <c r="AC21" s="424" t="str">
        <f>IF([1]参加チーム!$E$17=8,LEFT(VLOOKUP($N21,[1]参加チーム!$J$21:$Q$56,5,FALSE),3),"")</f>
        <v>横田中</v>
      </c>
      <c r="AD21" s="424" t="str">
        <f>IF($P$9=3,VLOOKUP(AC21,$G$6:$S$9,2,FALSE),"")</f>
        <v/>
      </c>
      <c r="AE21" s="424" t="str">
        <f>IF($P$9=3,VLOOKUP(AD21,$G$6:$S$9,2,FALSE),"")</f>
        <v/>
      </c>
      <c r="AF21" s="424" t="str">
        <f>IF($P$9=3,VLOOKUP(AE21,$G$6:$S$9,2,FALSE),"")</f>
        <v/>
      </c>
      <c r="AG21" s="424" t="str">
        <f>IF($P$9=3,VLOOKUP(AF21,$G$6:$S$9,2,FALSE),"")</f>
        <v/>
      </c>
      <c r="AH21" s="426">
        <f>IF(AI21="","",SUM(AI21:AI22))</f>
        <v>7</v>
      </c>
      <c r="AI21" s="156">
        <f>IF(日程・対戦記録表!AH20="","",日程・対戦記録表!AH20)</f>
        <v>2</v>
      </c>
      <c r="AJ21" s="157" t="s">
        <v>94</v>
      </c>
      <c r="AK21" s="240">
        <f>IF(日程・対戦記録表!AI20="","",日程・対戦記録表!AI20)</f>
        <v>1</v>
      </c>
      <c r="AL21" s="428">
        <f>IF(AK21="","",SUM(AK21:AK22))</f>
        <v>1</v>
      </c>
      <c r="AM21" s="430" t="str">
        <f>IF([1]参加チーム!$E$17=8,LEFT(VLOOKUP($N21,[1]参加チーム!$J$21:$Q$56,8,FALSE),3),"")</f>
        <v>瀬戸中</v>
      </c>
      <c r="AN21" s="430" t="str">
        <f>IF($P$9=3,VLOOKUP(AM21,$G$6:$S$9,2,FALSE),"")</f>
        <v/>
      </c>
      <c r="AO21" s="430" t="str">
        <f>IF($P$9=3,VLOOKUP(AN21,$G$6:$S$9,2,FALSE),"")</f>
        <v/>
      </c>
      <c r="AP21" s="430" t="str">
        <f>IF($P$9=3,VLOOKUP(AO21,$G$6:$S$9,2,FALSE),"")</f>
        <v/>
      </c>
      <c r="AQ21" s="430" t="str">
        <f>IF($P$9=3,VLOOKUP(AP21,$G$6:$S$9,2,FALSE),"")</f>
        <v/>
      </c>
      <c r="AR21" s="432" t="str">
        <f>VLOOKUP(AU21,$F$6:$Q$9,12,FALSE)</f>
        <v>G5</v>
      </c>
      <c r="AS21" s="434">
        <f>IF($P$10=4,AU21,"")</f>
        <v>2</v>
      </c>
      <c r="AT21" s="150">
        <v>8</v>
      </c>
      <c r="AU21" s="150">
        <v>2</v>
      </c>
      <c r="AV21" s="141" t="str">
        <f>AT21&amp;AU21</f>
        <v>82</v>
      </c>
      <c r="AW21" s="155">
        <f>IF(AI21="","",AI21)</f>
        <v>2</v>
      </c>
      <c r="AX21" s="155">
        <f>IF(AI22="","",AI22)</f>
        <v>5</v>
      </c>
      <c r="AY21" s="140"/>
    </row>
    <row r="22" spans="1:51" ht="13.5" customHeight="1" x14ac:dyDescent="0.15">
      <c r="A22" s="154" t="str">
        <f>IF(A21="","",WEEKDAY(A21))</f>
        <v/>
      </c>
      <c r="B22" s="160">
        <f>IF(B21="","",WEEKDAY(B21))</f>
        <v>7</v>
      </c>
      <c r="C22" s="439"/>
      <c r="D22" s="440"/>
      <c r="E22" s="440"/>
      <c r="F22" s="440"/>
      <c r="G22" s="440"/>
      <c r="H22" s="440"/>
      <c r="I22" s="440"/>
      <c r="J22" s="440"/>
      <c r="K22" s="440"/>
      <c r="L22" s="440"/>
      <c r="M22" s="440"/>
      <c r="N22" s="442"/>
      <c r="O22" s="442"/>
      <c r="P22" s="442"/>
      <c r="Q22" s="444"/>
      <c r="R22" s="444"/>
      <c r="S22" s="444"/>
      <c r="T22" s="444"/>
      <c r="U22" s="446"/>
      <c r="V22" s="446"/>
      <c r="W22" s="448"/>
      <c r="X22" s="448"/>
      <c r="Y22" s="448"/>
      <c r="Z22" s="448"/>
      <c r="AA22" s="450"/>
      <c r="AB22" s="452"/>
      <c r="AC22" s="425"/>
      <c r="AD22" s="425"/>
      <c r="AE22" s="425"/>
      <c r="AF22" s="425"/>
      <c r="AG22" s="425"/>
      <c r="AH22" s="427"/>
      <c r="AI22" s="151">
        <f>IF(日程・対戦記録表!AH21="","",日程・対戦記録表!AH21)</f>
        <v>5</v>
      </c>
      <c r="AJ22" s="152" t="s">
        <v>94</v>
      </c>
      <c r="AK22" s="239">
        <f>IF(日程・対戦記録表!AI21="","",日程・対戦記録表!AI21)</f>
        <v>0</v>
      </c>
      <c r="AL22" s="429"/>
      <c r="AM22" s="431"/>
      <c r="AN22" s="431"/>
      <c r="AO22" s="431"/>
      <c r="AP22" s="431"/>
      <c r="AQ22" s="431"/>
      <c r="AR22" s="433"/>
      <c r="AS22" s="435"/>
      <c r="AT22" s="150"/>
      <c r="AU22" s="150"/>
      <c r="AV22" s="141" t="str">
        <f>AU21&amp;AT21</f>
        <v>28</v>
      </c>
      <c r="AW22" s="149">
        <f>IF(AK21="","",AK21)</f>
        <v>1</v>
      </c>
      <c r="AX22" s="149">
        <f>IF(AK22="","",AK22)</f>
        <v>0</v>
      </c>
      <c r="AY22" s="140"/>
    </row>
    <row r="23" spans="1:51" ht="13.5" customHeight="1" x14ac:dyDescent="0.15">
      <c r="A23" s="159"/>
      <c r="B23" s="158">
        <f>[1]参加チーム!$J$5+1</f>
        <v>43673</v>
      </c>
      <c r="C23" s="437" t="str">
        <f>IF(MOD(N23,2)=0,"B","A")&amp;"　コート"</f>
        <v>A　コート</v>
      </c>
      <c r="D23" s="438"/>
      <c r="E23" s="438"/>
      <c r="F23" s="438"/>
      <c r="G23" s="438"/>
      <c r="H23" s="438"/>
      <c r="I23" s="438"/>
      <c r="J23" s="438"/>
      <c r="K23" s="438"/>
      <c r="L23" s="438"/>
      <c r="M23" s="438"/>
      <c r="N23" s="441">
        <v>17</v>
      </c>
      <c r="O23" s="441"/>
      <c r="P23" s="441"/>
      <c r="Q23" s="443" t="str">
        <f>VLOOKUP(N23,[1]リスト!$C$2:$F$34,2,FALSE)</f>
        <v>13:00</v>
      </c>
      <c r="R23" s="443"/>
      <c r="S23" s="443"/>
      <c r="T23" s="443"/>
      <c r="U23" s="445" t="s">
        <v>93</v>
      </c>
      <c r="V23" s="445"/>
      <c r="W23" s="447"/>
      <c r="X23" s="447"/>
      <c r="Y23" s="447"/>
      <c r="Z23" s="447"/>
      <c r="AA23" s="449">
        <f>IF($P$10=4,AT23,"")</f>
        <v>4</v>
      </c>
      <c r="AB23" s="451" t="e">
        <f>VLOOKUP(AT23,$F$6:$Q$9,12,FALSE)</f>
        <v>#N/A</v>
      </c>
      <c r="AC23" s="424" t="str">
        <f>IF([1]参加チーム!$E$17=8,LEFT(VLOOKUP($N23,[1]参加チーム!$J$21:$Q$56,5,FALSE),3),"")</f>
        <v>高森み</v>
      </c>
      <c r="AD23" s="424" t="str">
        <f>IF($P$9=3,VLOOKUP(AC23,$G$6:$S$9,2,FALSE),"")</f>
        <v/>
      </c>
      <c r="AE23" s="424" t="str">
        <f>IF($P$9=3,VLOOKUP(AD23,$G$6:$S$9,2,FALSE),"")</f>
        <v/>
      </c>
      <c r="AF23" s="424" t="str">
        <f>IF($P$9=3,VLOOKUP(AE23,$G$6:$S$9,2,FALSE),"")</f>
        <v/>
      </c>
      <c r="AG23" s="424" t="str">
        <f>IF($P$9=3,VLOOKUP(AF23,$G$6:$S$9,2,FALSE),"")</f>
        <v/>
      </c>
      <c r="AH23" s="426">
        <f>IF(AI23="","",SUM(AI23:AI24))</f>
        <v>0</v>
      </c>
      <c r="AI23" s="156">
        <f>IF(日程・対戦記録表!Q33="","",日程・対戦記録表!Q33)</f>
        <v>0</v>
      </c>
      <c r="AJ23" s="157" t="s">
        <v>94</v>
      </c>
      <c r="AK23" s="240">
        <f>IF(日程・対戦記録表!R33="","",日程・対戦記録表!R33)</f>
        <v>5</v>
      </c>
      <c r="AL23" s="428">
        <f>IF(AK23="","",SUM(AK23:AK24))</f>
        <v>13</v>
      </c>
      <c r="AM23" s="430" t="str">
        <f>IF([1]参加チーム!$E$17=8,LEFT(VLOOKUP($N23,[1]参加チーム!$J$21:$Q$56,8,FALSE),3),"")</f>
        <v>瀬戸中</v>
      </c>
      <c r="AN23" s="430" t="str">
        <f>IF($P$9=3,VLOOKUP(AM23,$G$6:$S$9,2,FALSE),"")</f>
        <v/>
      </c>
      <c r="AO23" s="430" t="str">
        <f>IF($P$9=3,VLOOKUP(AN23,$G$6:$S$9,2,FALSE),"")</f>
        <v/>
      </c>
      <c r="AP23" s="430" t="str">
        <f>IF($P$9=3,VLOOKUP(AO23,$G$6:$S$9,2,FALSE),"")</f>
        <v/>
      </c>
      <c r="AQ23" s="430" t="str">
        <f>IF($P$9=3,VLOOKUP(AP23,$G$6:$S$9,2,FALSE),"")</f>
        <v/>
      </c>
      <c r="AR23" s="432" t="str">
        <f>VLOOKUP(AU23,$F$6:$Q$9,12,FALSE)</f>
        <v>G5</v>
      </c>
      <c r="AS23" s="434">
        <f>IF($P$10=4,AU23,"")</f>
        <v>2</v>
      </c>
      <c r="AT23" s="150">
        <v>4</v>
      </c>
      <c r="AU23" s="150">
        <v>2</v>
      </c>
      <c r="AV23" s="141" t="str">
        <f>AT23&amp;AU23</f>
        <v>42</v>
      </c>
      <c r="AW23" s="155">
        <f>IF(AI23="","",AI23)</f>
        <v>0</v>
      </c>
      <c r="AX23" s="155">
        <f>IF(AI24="","",AI24)</f>
        <v>0</v>
      </c>
      <c r="AY23" s="140"/>
    </row>
    <row r="24" spans="1:51" ht="13.5" customHeight="1" x14ac:dyDescent="0.15">
      <c r="A24" s="154" t="str">
        <f>IF(A23="","",WEEKDAY(A23))</f>
        <v/>
      </c>
      <c r="B24" s="160">
        <f>IF(B23="","",WEEKDAY(B23))</f>
        <v>7</v>
      </c>
      <c r="C24" s="439"/>
      <c r="D24" s="440"/>
      <c r="E24" s="440"/>
      <c r="F24" s="440"/>
      <c r="G24" s="440"/>
      <c r="H24" s="440"/>
      <c r="I24" s="440"/>
      <c r="J24" s="440"/>
      <c r="K24" s="440"/>
      <c r="L24" s="440"/>
      <c r="M24" s="440"/>
      <c r="N24" s="442"/>
      <c r="O24" s="442"/>
      <c r="P24" s="442"/>
      <c r="Q24" s="444"/>
      <c r="R24" s="444"/>
      <c r="S24" s="444"/>
      <c r="T24" s="444"/>
      <c r="U24" s="446"/>
      <c r="V24" s="446"/>
      <c r="W24" s="448"/>
      <c r="X24" s="448"/>
      <c r="Y24" s="448"/>
      <c r="Z24" s="448"/>
      <c r="AA24" s="450"/>
      <c r="AB24" s="452"/>
      <c r="AC24" s="425"/>
      <c r="AD24" s="425"/>
      <c r="AE24" s="425"/>
      <c r="AF24" s="425"/>
      <c r="AG24" s="425"/>
      <c r="AH24" s="427"/>
      <c r="AI24" s="151">
        <f>IF(日程・対戦記録表!Q34="","",日程・対戦記録表!Q34)</f>
        <v>0</v>
      </c>
      <c r="AJ24" s="152" t="s">
        <v>94</v>
      </c>
      <c r="AK24" s="239">
        <f>IF(日程・対戦記録表!R34="","",日程・対戦記録表!R34)</f>
        <v>8</v>
      </c>
      <c r="AL24" s="429"/>
      <c r="AM24" s="431"/>
      <c r="AN24" s="431"/>
      <c r="AO24" s="431"/>
      <c r="AP24" s="431"/>
      <c r="AQ24" s="431"/>
      <c r="AR24" s="433"/>
      <c r="AS24" s="435"/>
      <c r="AT24" s="150"/>
      <c r="AU24" s="150"/>
      <c r="AV24" s="141" t="str">
        <f>AU23&amp;AT23</f>
        <v>24</v>
      </c>
      <c r="AW24" s="149">
        <f>IF(AK23="","",AK23)</f>
        <v>5</v>
      </c>
      <c r="AX24" s="149">
        <f>IF(AK24="","",AK24)</f>
        <v>8</v>
      </c>
      <c r="AY24" s="140"/>
    </row>
    <row r="25" spans="1:51" ht="13.5" customHeight="1" x14ac:dyDescent="0.15">
      <c r="A25" s="159"/>
      <c r="B25" s="158">
        <f>[1]参加チーム!$J$5+1</f>
        <v>43673</v>
      </c>
      <c r="C25" s="437" t="str">
        <f>IF(MOD(N25,2)=0,"B","A")&amp;"　コート"</f>
        <v>B　コート</v>
      </c>
      <c r="D25" s="438"/>
      <c r="E25" s="438"/>
      <c r="F25" s="438"/>
      <c r="G25" s="438"/>
      <c r="H25" s="438"/>
      <c r="I25" s="438"/>
      <c r="J25" s="438"/>
      <c r="K25" s="438"/>
      <c r="L25" s="438"/>
      <c r="M25" s="438"/>
      <c r="N25" s="441">
        <v>18</v>
      </c>
      <c r="O25" s="441"/>
      <c r="P25" s="441"/>
      <c r="Q25" s="443" t="str">
        <f>VLOOKUP(N25,[1]リスト!$C$2:$F$34,2,FALSE)</f>
        <v>13:00</v>
      </c>
      <c r="R25" s="443"/>
      <c r="S25" s="443"/>
      <c r="T25" s="443"/>
      <c r="U25" s="445" t="s">
        <v>93</v>
      </c>
      <c r="V25" s="445"/>
      <c r="W25" s="447"/>
      <c r="X25" s="447"/>
      <c r="Y25" s="447"/>
      <c r="Z25" s="447"/>
      <c r="AA25" s="449">
        <f>IF($P$10=4,AT25,"")</f>
        <v>8</v>
      </c>
      <c r="AB25" s="451" t="str">
        <f>VLOOKUP(AT25,$F$6:$Q$9,12,FALSE)</f>
        <v>G3</v>
      </c>
      <c r="AC25" s="424" t="str">
        <f>IF([1]参加チーム!$E$17=8,LEFT(VLOOKUP($N25,[1]参加チーム!$J$21:$Q$56,5,FALSE),3),"")</f>
        <v>横田中</v>
      </c>
      <c r="AD25" s="424" t="str">
        <f>IF($P$9=3,VLOOKUP(AC25,$G$6:$S$9,2,FALSE),"")</f>
        <v/>
      </c>
      <c r="AE25" s="424" t="str">
        <f>IF($P$9=3,VLOOKUP(AD25,$G$6:$S$9,2,FALSE),"")</f>
        <v/>
      </c>
      <c r="AF25" s="424" t="str">
        <f>IF($P$9=3,VLOOKUP(AE25,$G$6:$S$9,2,FALSE),"")</f>
        <v/>
      </c>
      <c r="AG25" s="424" t="str">
        <f>IF($P$9=3,VLOOKUP(AF25,$G$6:$S$9,2,FALSE),"")</f>
        <v/>
      </c>
      <c r="AH25" s="426">
        <f>IF(AI25="","",SUM(AI25:AI26))</f>
        <v>12</v>
      </c>
      <c r="AI25" s="156">
        <f>IF(日程・対戦記録表!AH33="","",日程・対戦記録表!AH33)</f>
        <v>5</v>
      </c>
      <c r="AJ25" s="157" t="s">
        <v>94</v>
      </c>
      <c r="AK25" s="240">
        <f>IF(日程・対戦記録表!AI33="","",日程・対戦記録表!AI33)</f>
        <v>0</v>
      </c>
      <c r="AL25" s="428">
        <f>IF(AK25="","",SUM(AK25:AK26))</f>
        <v>0</v>
      </c>
      <c r="AM25" s="430" t="str">
        <f>IF([1]参加チーム!$E$17=8,LEFT(VLOOKUP($N25,[1]参加チーム!$J$21:$Q$56,8,FALSE),3),"")</f>
        <v>桜ヶ丘</v>
      </c>
      <c r="AN25" s="430" t="str">
        <f>IF($P$9=3,VLOOKUP(AM25,$G$6:$S$9,2,FALSE),"")</f>
        <v/>
      </c>
      <c r="AO25" s="430" t="str">
        <f>IF($P$9=3,VLOOKUP(AN25,$G$6:$S$9,2,FALSE),"")</f>
        <v/>
      </c>
      <c r="AP25" s="430" t="str">
        <f>IF($P$9=3,VLOOKUP(AO25,$G$6:$S$9,2,FALSE),"")</f>
        <v/>
      </c>
      <c r="AQ25" s="430" t="str">
        <f>IF($P$9=3,VLOOKUP(AP25,$G$6:$S$9,2,FALSE),"")</f>
        <v/>
      </c>
      <c r="AR25" s="432" t="str">
        <f>VLOOKUP(AU25,$F$6:$Q$9,12,FALSE)</f>
        <v>G2</v>
      </c>
      <c r="AS25" s="434">
        <f>IF($P$10=4,AU25,"")</f>
        <v>5</v>
      </c>
      <c r="AT25" s="150">
        <v>8</v>
      </c>
      <c r="AU25" s="150">
        <v>5</v>
      </c>
      <c r="AV25" s="141" t="str">
        <f>AT25&amp;AU25</f>
        <v>85</v>
      </c>
      <c r="AW25" s="155">
        <f>IF(AI25="","",AI25)</f>
        <v>5</v>
      </c>
      <c r="AX25" s="155">
        <f>IF(AI26="","",AI26)</f>
        <v>7</v>
      </c>
      <c r="AY25" s="140"/>
    </row>
    <row r="26" spans="1:51" ht="13.5" customHeight="1" x14ac:dyDescent="0.15">
      <c r="A26" s="154" t="str">
        <f>IF(A25="","",WEEKDAY(A25))</f>
        <v/>
      </c>
      <c r="B26" s="153">
        <f>IF(B25="","",WEEKDAY(B25))</f>
        <v>7</v>
      </c>
      <c r="C26" s="439"/>
      <c r="D26" s="440"/>
      <c r="E26" s="440"/>
      <c r="F26" s="440"/>
      <c r="G26" s="440"/>
      <c r="H26" s="440"/>
      <c r="I26" s="440"/>
      <c r="J26" s="440"/>
      <c r="K26" s="440"/>
      <c r="L26" s="440"/>
      <c r="M26" s="440"/>
      <c r="N26" s="442"/>
      <c r="O26" s="442"/>
      <c r="P26" s="442"/>
      <c r="Q26" s="444"/>
      <c r="R26" s="444"/>
      <c r="S26" s="444"/>
      <c r="T26" s="444"/>
      <c r="U26" s="446"/>
      <c r="V26" s="446"/>
      <c r="W26" s="448"/>
      <c r="X26" s="448"/>
      <c r="Y26" s="448"/>
      <c r="Z26" s="448"/>
      <c r="AA26" s="450"/>
      <c r="AB26" s="452"/>
      <c r="AC26" s="425"/>
      <c r="AD26" s="425"/>
      <c r="AE26" s="425"/>
      <c r="AF26" s="425"/>
      <c r="AG26" s="425"/>
      <c r="AH26" s="427"/>
      <c r="AI26" s="151">
        <f>IF(日程・対戦記録表!AH34="","",日程・対戦記録表!AH34)</f>
        <v>7</v>
      </c>
      <c r="AJ26" s="152" t="s">
        <v>94</v>
      </c>
      <c r="AK26" s="239">
        <f>IF(日程・対戦記録表!AI34="","",日程・対戦記録表!AI34)</f>
        <v>0</v>
      </c>
      <c r="AL26" s="429"/>
      <c r="AM26" s="431"/>
      <c r="AN26" s="431"/>
      <c r="AO26" s="431"/>
      <c r="AP26" s="431"/>
      <c r="AQ26" s="431"/>
      <c r="AR26" s="433"/>
      <c r="AS26" s="435"/>
      <c r="AT26" s="150"/>
      <c r="AU26" s="150"/>
      <c r="AV26" s="141" t="str">
        <f>AU25&amp;AT25</f>
        <v>58</v>
      </c>
      <c r="AW26" s="149">
        <f>IF(AK25="","",AK25)</f>
        <v>0</v>
      </c>
      <c r="AX26" s="149">
        <f>IF(AK26="","",AK26)</f>
        <v>0</v>
      </c>
      <c r="AY26" s="140"/>
    </row>
    <row r="27" spans="1:51" ht="34.5" customHeight="1" x14ac:dyDescent="0.2">
      <c r="A27" s="141"/>
      <c r="B27" s="455" t="s">
        <v>105</v>
      </c>
      <c r="C27" s="455"/>
      <c r="D27" s="455"/>
      <c r="E27" s="455"/>
      <c r="F27" s="455"/>
      <c r="G27" s="455"/>
      <c r="H27" s="455"/>
      <c r="I27" s="455"/>
      <c r="J27" s="455"/>
      <c r="K27" s="455"/>
      <c r="L27" s="455"/>
      <c r="M27" s="455"/>
      <c r="N27" s="455"/>
      <c r="O27" s="455"/>
      <c r="P27" s="455"/>
      <c r="Q27" s="455"/>
      <c r="R27" s="455"/>
      <c r="S27" s="455"/>
      <c r="T27" s="455"/>
      <c r="U27" s="455"/>
      <c r="V27" s="455"/>
      <c r="W27" s="455"/>
      <c r="X27" s="455"/>
      <c r="Y27" s="455"/>
      <c r="Z27" s="455"/>
      <c r="AA27" s="455"/>
      <c r="AB27" s="455"/>
      <c r="AC27" s="455"/>
      <c r="AD27" s="455"/>
      <c r="AE27" s="455"/>
      <c r="AF27" s="455"/>
      <c r="AG27" s="455"/>
      <c r="AH27" s="455"/>
      <c r="AI27" s="455"/>
      <c r="AJ27" s="455"/>
      <c r="AK27" s="455"/>
      <c r="AL27" s="455"/>
      <c r="AM27" s="455"/>
      <c r="AN27" s="455"/>
      <c r="AO27" s="455"/>
      <c r="AP27" s="455"/>
      <c r="AQ27" s="455"/>
      <c r="AR27" s="455"/>
      <c r="AS27" s="148"/>
      <c r="AT27" s="141"/>
      <c r="AU27" s="141"/>
      <c r="AV27" s="141"/>
      <c r="AW27" s="141"/>
      <c r="AX27" s="141"/>
      <c r="AY27" s="140"/>
    </row>
    <row r="28" spans="1:51" ht="12" customHeight="1" x14ac:dyDescent="0.2">
      <c r="A28" s="147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6"/>
      <c r="AK28" s="145"/>
      <c r="AL28" s="145"/>
      <c r="AM28" s="145"/>
      <c r="AN28" s="145"/>
      <c r="AO28" s="145"/>
      <c r="AP28" s="145"/>
      <c r="AQ28" s="145"/>
      <c r="AR28" s="145"/>
      <c r="AS28" s="144"/>
      <c r="AT28" s="141"/>
      <c r="AU28" s="141"/>
      <c r="AV28" s="141"/>
      <c r="AW28" s="141"/>
      <c r="AX28" s="141"/>
      <c r="AY28" s="140"/>
    </row>
    <row r="29" spans="1:51" ht="15" hidden="1" customHeight="1" x14ac:dyDescent="0.15">
      <c r="A29" s="141"/>
      <c r="B29" s="142"/>
      <c r="C29" s="456">
        <f>A31</f>
        <v>8</v>
      </c>
      <c r="D29" s="456"/>
      <c r="E29" s="456"/>
      <c r="F29" s="456"/>
      <c r="G29" s="456"/>
      <c r="H29" s="456">
        <f>A34</f>
        <v>4</v>
      </c>
      <c r="I29" s="456"/>
      <c r="J29" s="456"/>
      <c r="K29" s="456"/>
      <c r="L29" s="456"/>
      <c r="M29" s="457">
        <f>A37</f>
        <v>5</v>
      </c>
      <c r="N29" s="457"/>
      <c r="O29" s="457"/>
      <c r="P29" s="457"/>
      <c r="Q29" s="457"/>
      <c r="R29" s="457">
        <f>A40</f>
        <v>2</v>
      </c>
      <c r="S29" s="457"/>
      <c r="T29" s="457"/>
      <c r="U29" s="457"/>
      <c r="V29" s="457"/>
      <c r="W29" s="457" t="str">
        <f>A43</f>
        <v/>
      </c>
      <c r="X29" s="457"/>
      <c r="Y29" s="457"/>
      <c r="Z29" s="457"/>
      <c r="AA29" s="457"/>
      <c r="AB29" s="143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1"/>
      <c r="AT29" s="141"/>
      <c r="AU29" s="141"/>
      <c r="AV29" s="141"/>
      <c r="AW29" s="141"/>
      <c r="AX29" s="141"/>
      <c r="AY29" s="140"/>
    </row>
    <row r="30" spans="1:51" s="123" customFormat="1" ht="14.25" customHeight="1" x14ac:dyDescent="0.15">
      <c r="A30" s="139"/>
      <c r="B30" s="138" t="s">
        <v>106</v>
      </c>
      <c r="C30" s="475" t="str">
        <f>B31</f>
        <v>横田中</v>
      </c>
      <c r="D30" s="475"/>
      <c r="E30" s="475"/>
      <c r="F30" s="475"/>
      <c r="G30" s="475"/>
      <c r="H30" s="475" t="str">
        <f>B34</f>
        <v>高森み</v>
      </c>
      <c r="I30" s="475"/>
      <c r="J30" s="475"/>
      <c r="K30" s="475"/>
      <c r="L30" s="475"/>
      <c r="M30" s="475" t="str">
        <f>B37</f>
        <v>桜ヶ丘</v>
      </c>
      <c r="N30" s="475"/>
      <c r="O30" s="475"/>
      <c r="P30" s="475"/>
      <c r="Q30" s="475"/>
      <c r="R30" s="475" t="str">
        <f>B40</f>
        <v>瀬戸中</v>
      </c>
      <c r="S30" s="475"/>
      <c r="T30" s="475"/>
      <c r="U30" s="475"/>
      <c r="V30" s="475"/>
      <c r="W30" s="476" t="str">
        <f>LEFT(B43,8)</f>
        <v/>
      </c>
      <c r="X30" s="477"/>
      <c r="Y30" s="477"/>
      <c r="Z30" s="477"/>
      <c r="AA30" s="477"/>
      <c r="AB30" s="478" t="s">
        <v>53</v>
      </c>
      <c r="AC30" s="479"/>
      <c r="AD30" s="473" t="s">
        <v>52</v>
      </c>
      <c r="AE30" s="474"/>
      <c r="AF30" s="473" t="s">
        <v>51</v>
      </c>
      <c r="AG30" s="474"/>
      <c r="AH30" s="473" t="s">
        <v>50</v>
      </c>
      <c r="AI30" s="474"/>
      <c r="AJ30" s="473" t="s">
        <v>49</v>
      </c>
      <c r="AK30" s="474"/>
      <c r="AL30" s="473" t="s">
        <v>48</v>
      </c>
      <c r="AM30" s="474"/>
      <c r="AN30" s="473" t="s">
        <v>47</v>
      </c>
      <c r="AO30" s="474"/>
      <c r="AP30" s="458" t="s">
        <v>46</v>
      </c>
      <c r="AQ30" s="458"/>
      <c r="AR30" s="458"/>
      <c r="AS30" s="137" t="s">
        <v>45</v>
      </c>
      <c r="AT30" s="125"/>
      <c r="AU30" s="125"/>
      <c r="AV30" s="125"/>
      <c r="AW30" s="134" t="s">
        <v>44</v>
      </c>
      <c r="AX30" s="124"/>
      <c r="AY30" s="124"/>
    </row>
    <row r="31" spans="1:51" s="123" customFormat="1" ht="13.5" customHeight="1" x14ac:dyDescent="0.15">
      <c r="A31" s="459">
        <f>IF($P$10=4,AT6,"")</f>
        <v>8</v>
      </c>
      <c r="B31" s="462" t="str">
        <f>IF(H6="","",H6)</f>
        <v>横田中</v>
      </c>
      <c r="C31" s="465"/>
      <c r="D31" s="132"/>
      <c r="E31" s="132"/>
      <c r="F31" s="132"/>
      <c r="G31" s="467"/>
      <c r="H31" s="497">
        <f>IF(AND(I31="",I32=""),"",SUM(I31:I32))</f>
        <v>20</v>
      </c>
      <c r="I31" s="131">
        <f>AI15</f>
        <v>9</v>
      </c>
      <c r="J31" s="131" t="s">
        <v>43</v>
      </c>
      <c r="K31" s="131">
        <f>AK15</f>
        <v>0</v>
      </c>
      <c r="L31" s="504">
        <f>IF(AND(K31="",K32=""),"",SUM(K31:K32))</f>
        <v>0</v>
      </c>
      <c r="M31" s="497">
        <f>IF(AND(N31="",N32=""),"",SUM(N31:N32))</f>
        <v>12</v>
      </c>
      <c r="N31" s="131">
        <f>AI25</f>
        <v>5</v>
      </c>
      <c r="O31" s="131" t="s">
        <v>43</v>
      </c>
      <c r="P31" s="131">
        <f>AK25</f>
        <v>0</v>
      </c>
      <c r="Q31" s="504">
        <f>IF(AND(P31="",P32=""),"",SUM(P31:P32))</f>
        <v>0</v>
      </c>
      <c r="R31" s="497">
        <f>IF(AND(S31="",S32=""),"",SUM(S31:S32))</f>
        <v>7</v>
      </c>
      <c r="S31" s="131">
        <f>AI21</f>
        <v>2</v>
      </c>
      <c r="T31" s="131" t="s">
        <v>43</v>
      </c>
      <c r="U31" s="131">
        <f>AK21</f>
        <v>1</v>
      </c>
      <c r="V31" s="504">
        <f>IF(AND(U31="",U32=""),"",SUM(U31:U32))</f>
        <v>1</v>
      </c>
      <c r="W31" s="497" t="str">
        <f>IF(AND(X31="",X32=""),"",SUM(X31:X32))</f>
        <v/>
      </c>
      <c r="X31" s="131" t="str">
        <f>IF(W$30="","",VLOOKUP($A$31&amp;W$29,$AV$15:$AX$26,2,FALSE))</f>
        <v/>
      </c>
      <c r="Y31" s="131"/>
      <c r="Z31" s="131" t="str">
        <f>IF(W$30="","",VLOOKUP(W$29&amp;$A$31,$AV$15:$AX$26,2,FALSE))</f>
        <v/>
      </c>
      <c r="AA31" s="499" t="str">
        <f>IF(AND(Z31="",Z32=""),"",SUM(Z31:Z32))</f>
        <v/>
      </c>
      <c r="AB31" s="501">
        <f>IF(AND($C33="",$H33="",$M33="",$R33="",$W33=""),"",SUM(3*AD31,1*AF31))</f>
        <v>9</v>
      </c>
      <c r="AC31" s="502"/>
      <c r="AD31" s="503">
        <f>IF(AND($C33="",$H33="",$M33="",$R33="",$W33=""),"",COUNTIF($C33:$AA33,"○"))</f>
        <v>3</v>
      </c>
      <c r="AE31" s="503"/>
      <c r="AF31" s="503">
        <f>IF(AND($C33="",$H33="",$M33="",$R33="",$W33=""),"",COUNTIF($C33:$AA33,"△"))</f>
        <v>0</v>
      </c>
      <c r="AG31" s="503"/>
      <c r="AH31" s="503">
        <f>IF(AND($C33="",$H33="",$M33="",$R33="",$W33=""),"",COUNTIF($C33:$AA33,"●"))</f>
        <v>0</v>
      </c>
      <c r="AI31" s="503"/>
      <c r="AJ31" s="480">
        <f>IF(AND(C31="",H31="",M31="",R31="",W31=""),"",SUM(C31,H31,M31,R31,W31))</f>
        <v>39</v>
      </c>
      <c r="AK31" s="481"/>
      <c r="AL31" s="485">
        <f>IF(AND(G31="",L31="",Q31="",V31="",AA31=""),"",SUM(G31,L31,Q31,V31,AA31))</f>
        <v>1</v>
      </c>
      <c r="AM31" s="481"/>
      <c r="AN31" s="485">
        <f>IF(OR(AJ31="",AL31=""),"",AJ31-AL31)</f>
        <v>38</v>
      </c>
      <c r="AO31" s="481"/>
      <c r="AP31" s="488">
        <f>IF(OR($AI$26="",$AK$26=""),"",RANK(AS31,$AS$31:$AS$42))</f>
        <v>1</v>
      </c>
      <c r="AQ31" s="488"/>
      <c r="AR31" s="488"/>
      <c r="AS31" s="130">
        <f>SUM($AB31*10000,$AD31*1000,$AN31*100,$AJ31)</f>
        <v>96839</v>
      </c>
      <c r="AT31" s="125" t="str">
        <f>B31</f>
        <v>横田中</v>
      </c>
      <c r="AU31" s="125"/>
      <c r="AV31" s="125"/>
      <c r="AW31" s="134">
        <v>1</v>
      </c>
      <c r="AX31" s="133" t="str">
        <f>IF($AP$31="","",VLOOKUP(AW31,$AP$31:$AU$42,5,FALSE))</f>
        <v>横田中</v>
      </c>
      <c r="AY31" s="133" t="str">
        <f>VLOOKUP(AX31,$H$6:$Q$9,10,FALSE)</f>
        <v>G3</v>
      </c>
    </row>
    <row r="32" spans="1:51" s="123" customFormat="1" ht="13.5" customHeight="1" x14ac:dyDescent="0.15">
      <c r="A32" s="460"/>
      <c r="B32" s="463"/>
      <c r="C32" s="466"/>
      <c r="D32" s="129"/>
      <c r="E32" s="129"/>
      <c r="F32" s="129"/>
      <c r="G32" s="468"/>
      <c r="H32" s="498"/>
      <c r="I32" s="128">
        <f>AI16</f>
        <v>11</v>
      </c>
      <c r="J32" s="128" t="s">
        <v>43</v>
      </c>
      <c r="K32" s="128">
        <f>AK16</f>
        <v>0</v>
      </c>
      <c r="L32" s="505"/>
      <c r="M32" s="498"/>
      <c r="N32" s="128">
        <f>AI26</f>
        <v>7</v>
      </c>
      <c r="O32" s="128" t="s">
        <v>43</v>
      </c>
      <c r="P32" s="128">
        <f>AK26</f>
        <v>0</v>
      </c>
      <c r="Q32" s="505"/>
      <c r="R32" s="498"/>
      <c r="S32" s="128">
        <f>AI22</f>
        <v>5</v>
      </c>
      <c r="T32" s="128" t="s">
        <v>43</v>
      </c>
      <c r="U32" s="128">
        <f>AK22</f>
        <v>0</v>
      </c>
      <c r="V32" s="505"/>
      <c r="W32" s="498"/>
      <c r="X32" s="128" t="str">
        <f>IF(W$30="","",VLOOKUP($A$31&amp;W$29,$AV$15:$AX$26,3,FALSE))</f>
        <v/>
      </c>
      <c r="Y32" s="128"/>
      <c r="Z32" s="128" t="str">
        <f>IF(W$30="","",VLOOKUP(W$29&amp;$A$31,$AV$15:$AX$26,3,FALSE))</f>
        <v/>
      </c>
      <c r="AA32" s="500"/>
      <c r="AB32" s="501"/>
      <c r="AC32" s="502"/>
      <c r="AD32" s="503"/>
      <c r="AE32" s="503"/>
      <c r="AF32" s="503"/>
      <c r="AG32" s="503"/>
      <c r="AH32" s="503"/>
      <c r="AI32" s="503"/>
      <c r="AJ32" s="482"/>
      <c r="AK32" s="483"/>
      <c r="AL32" s="486"/>
      <c r="AM32" s="483"/>
      <c r="AN32" s="486"/>
      <c r="AO32" s="483"/>
      <c r="AP32" s="488"/>
      <c r="AQ32" s="488"/>
      <c r="AR32" s="488"/>
      <c r="AS32" s="127"/>
      <c r="AT32" s="125"/>
      <c r="AU32" s="125"/>
      <c r="AV32" s="125"/>
      <c r="AW32" s="134">
        <v>2</v>
      </c>
      <c r="AX32" s="133" t="str">
        <f>IF($AP$31="","",VLOOKUP(AW32,$AP$31:$AU$42,5,FALSE))</f>
        <v>瀬戸中</v>
      </c>
      <c r="AY32" s="133" t="str">
        <f>VLOOKUP(AX32,$H$6:$Q$9,10,FALSE)</f>
        <v>G5</v>
      </c>
    </row>
    <row r="33" spans="1:51" s="123" customFormat="1" ht="18" customHeight="1" x14ac:dyDescent="0.15">
      <c r="A33" s="461"/>
      <c r="B33" s="464"/>
      <c r="C33" s="489"/>
      <c r="D33" s="490"/>
      <c r="E33" s="490"/>
      <c r="F33" s="490"/>
      <c r="G33" s="491"/>
      <c r="H33" s="495" t="str">
        <f>IF(OR(H31="",L31=""),"",IF(H31&gt;L31,"○",IF(H31=L31,"△",IF(H31&lt;L31,"☓",""))))</f>
        <v>○</v>
      </c>
      <c r="I33" s="496"/>
      <c r="J33" s="496"/>
      <c r="K33" s="496"/>
      <c r="L33" s="506"/>
      <c r="M33" s="495" t="str">
        <f>IF(OR(M31="",Q31=""),"",IF(M31&gt;Q31,"○",IF(M31=Q31,"△",IF(M31&lt;Q31,"☓",""))))</f>
        <v>○</v>
      </c>
      <c r="N33" s="496"/>
      <c r="O33" s="496"/>
      <c r="P33" s="496"/>
      <c r="Q33" s="506"/>
      <c r="R33" s="495" t="str">
        <f>IF(OR(R31="",V31=""),"",IF(R31&gt;V31,"○",IF(R31=V31,"△",IF(R31&lt;V31,"☓",""))))</f>
        <v>○</v>
      </c>
      <c r="S33" s="496"/>
      <c r="T33" s="496"/>
      <c r="U33" s="496"/>
      <c r="V33" s="506"/>
      <c r="W33" s="495" t="str">
        <f>IF(OR(W31="",AA31=""),"",IF(W31&gt;AA31,"○",IF(W31=AA31,"△",IF(W31&lt;AA31,"●",""))))</f>
        <v/>
      </c>
      <c r="X33" s="496"/>
      <c r="Y33" s="496"/>
      <c r="Z33" s="496"/>
      <c r="AA33" s="496"/>
      <c r="AB33" s="501"/>
      <c r="AC33" s="502"/>
      <c r="AD33" s="503"/>
      <c r="AE33" s="503"/>
      <c r="AF33" s="503"/>
      <c r="AG33" s="503"/>
      <c r="AH33" s="503"/>
      <c r="AI33" s="503"/>
      <c r="AJ33" s="409"/>
      <c r="AK33" s="484"/>
      <c r="AL33" s="487"/>
      <c r="AM33" s="484"/>
      <c r="AN33" s="487"/>
      <c r="AO33" s="484"/>
      <c r="AP33" s="488"/>
      <c r="AQ33" s="488"/>
      <c r="AR33" s="488"/>
      <c r="AS33" s="126"/>
      <c r="AT33" s="125">
        <f>B33</f>
        <v>0</v>
      </c>
      <c r="AU33" s="125"/>
      <c r="AV33" s="125"/>
      <c r="AW33" s="134">
        <v>3</v>
      </c>
      <c r="AX33" s="133" t="str">
        <f>IF($AP$31="","",VLOOKUP(AW33,$AP$31:$AU$42,5,FALSE))</f>
        <v>桜ヶ丘</v>
      </c>
      <c r="AY33" s="133" t="str">
        <f>VLOOKUP(AX33,$H$6:$Q$9,10,FALSE)</f>
        <v>G2</v>
      </c>
    </row>
    <row r="34" spans="1:51" s="123" customFormat="1" ht="13.5" customHeight="1" x14ac:dyDescent="0.15">
      <c r="A34" s="459">
        <f>IF($P$10&gt;1,AT7,"")</f>
        <v>4</v>
      </c>
      <c r="B34" s="462" t="str">
        <f>IF(H7="","",LEFT(H7,10))</f>
        <v>高森み</v>
      </c>
      <c r="C34" s="497">
        <f>IF(AND(D34="",D35=""),"",SUM(D34:D35))</f>
        <v>0</v>
      </c>
      <c r="D34" s="131">
        <f>AK15</f>
        <v>0</v>
      </c>
      <c r="E34" s="131" t="s">
        <v>43</v>
      </c>
      <c r="F34" s="131">
        <f>AI15</f>
        <v>9</v>
      </c>
      <c r="G34" s="504">
        <f>IF(AND(F34="",F35=""),"",SUM(F34:F35))</f>
        <v>20</v>
      </c>
      <c r="H34" s="465"/>
      <c r="I34" s="132"/>
      <c r="J34" s="132"/>
      <c r="K34" s="132"/>
      <c r="L34" s="467"/>
      <c r="M34" s="497">
        <f>IF(AND(N34="",N35=""),"",SUM(N34:N35))</f>
        <v>0</v>
      </c>
      <c r="N34" s="131">
        <f>AI19</f>
        <v>0</v>
      </c>
      <c r="O34" s="131" t="s">
        <v>43</v>
      </c>
      <c r="P34" s="131">
        <f>AK19</f>
        <v>0</v>
      </c>
      <c r="Q34" s="504">
        <f>IF(AND(P34="",P35=""),"",SUM(P34:P35))</f>
        <v>4</v>
      </c>
      <c r="R34" s="497">
        <f>IF(AND(S34="",S35=""),"",SUM(S34:S35))</f>
        <v>0</v>
      </c>
      <c r="S34" s="131">
        <f>AI23</f>
        <v>0</v>
      </c>
      <c r="T34" s="131" t="s">
        <v>43</v>
      </c>
      <c r="U34" s="131">
        <f>AK23</f>
        <v>5</v>
      </c>
      <c r="V34" s="504">
        <f>IF(AND(U34="",U35=""),"",SUM(U34:U35))</f>
        <v>13</v>
      </c>
      <c r="W34" s="497" t="str">
        <f>IF(AND(X34="",X35=""),"",SUM(X34:X35))</f>
        <v/>
      </c>
      <c r="X34" s="131" t="str">
        <f>IF(W$30="","",VLOOKUP($A$34&amp;W$29,$AV$15:$AX$26,2,FALSE))</f>
        <v/>
      </c>
      <c r="Y34" s="131"/>
      <c r="Z34" s="131" t="str">
        <f>IF(W$30="","",VLOOKUP(W$29&amp;$A$34,$AV$15:$AX$26,2,FALSE))</f>
        <v/>
      </c>
      <c r="AA34" s="499" t="str">
        <f>IF(AND(Z34="",Z35=""),"",SUM(Z34:Z35))</f>
        <v/>
      </c>
      <c r="AB34" s="501">
        <f>IF(AND($C36="",$H36="",$M36="",$R36="",$W36=""),"",SUM(3*AD34,1*AF34))</f>
        <v>0</v>
      </c>
      <c r="AC34" s="502"/>
      <c r="AD34" s="503">
        <f>IF(AND($C36="",$H36="",$M36="",$R36="",$W36=""),"",COUNTIF($C36:$AA36,"○"))</f>
        <v>0</v>
      </c>
      <c r="AE34" s="503"/>
      <c r="AF34" s="503">
        <f>IF(AND($C36="",$H36="",$M36="",$R36="",$W36=""),"",COUNTIF($C36:$AA36,"△"))</f>
        <v>0</v>
      </c>
      <c r="AG34" s="503"/>
      <c r="AH34" s="503">
        <f>IF(AND($C36="",$H36="",$M36="",$R36="",$W36=""),"",COUNTIF($C36:$AA36,"●"))</f>
        <v>0</v>
      </c>
      <c r="AI34" s="503"/>
      <c r="AJ34" s="480">
        <f>IF(AND(C34="",H34="",M34="",R34="",W34=""),"",SUM(C34,H34,M34,R34,W34))</f>
        <v>0</v>
      </c>
      <c r="AK34" s="481"/>
      <c r="AL34" s="485">
        <f>IF(AND(G34="",L34="",Q34="",V34="",AA34=""),"",SUM(G34,L34,Q34,V34,AA34))</f>
        <v>37</v>
      </c>
      <c r="AM34" s="481"/>
      <c r="AN34" s="485">
        <f>IF(OR(AJ34="",AL34=""),"",AJ34-AL34)</f>
        <v>-37</v>
      </c>
      <c r="AO34" s="481"/>
      <c r="AP34" s="541">
        <f>IF(OR($AI$26="",$AK$26=""),"",RANK(AS34,$AS$31:$AS$42))</f>
        <v>4</v>
      </c>
      <c r="AQ34" s="542"/>
      <c r="AR34" s="543"/>
      <c r="AS34" s="130">
        <f>SUM($AB34*10000,$AD34*1000,$AN34*100,$AJ34)</f>
        <v>-3700</v>
      </c>
      <c r="AT34" s="125" t="str">
        <f>B34</f>
        <v>高森み</v>
      </c>
      <c r="AU34" s="125"/>
      <c r="AV34" s="125"/>
      <c r="AW34" s="134">
        <v>4</v>
      </c>
      <c r="AX34" s="133" t="str">
        <f>IF($AP$31="","",VLOOKUP(AW34,$AP$31:$AU$42,5,FALSE))</f>
        <v>高森み</v>
      </c>
      <c r="AY34" s="133" t="e">
        <f>VLOOKUP(AX34,$H$6:$Q$9,10,FALSE)</f>
        <v>#N/A</v>
      </c>
    </row>
    <row r="35" spans="1:51" s="123" customFormat="1" ht="13.5" customHeight="1" x14ac:dyDescent="0.15">
      <c r="A35" s="460"/>
      <c r="B35" s="463"/>
      <c r="C35" s="498"/>
      <c r="D35" s="128">
        <f>AK16</f>
        <v>0</v>
      </c>
      <c r="E35" s="128" t="s">
        <v>43</v>
      </c>
      <c r="F35" s="128">
        <f>AI16</f>
        <v>11</v>
      </c>
      <c r="G35" s="505"/>
      <c r="H35" s="466"/>
      <c r="I35" s="129"/>
      <c r="J35" s="129"/>
      <c r="K35" s="129"/>
      <c r="L35" s="468"/>
      <c r="M35" s="498"/>
      <c r="N35" s="128">
        <f>AI20</f>
        <v>0</v>
      </c>
      <c r="O35" s="128" t="s">
        <v>43</v>
      </c>
      <c r="P35" s="128">
        <f>AK20</f>
        <v>4</v>
      </c>
      <c r="Q35" s="505"/>
      <c r="R35" s="498"/>
      <c r="S35" s="128">
        <f>AI24</f>
        <v>0</v>
      </c>
      <c r="T35" s="128" t="s">
        <v>43</v>
      </c>
      <c r="U35" s="128">
        <f>AK24</f>
        <v>8</v>
      </c>
      <c r="V35" s="505"/>
      <c r="W35" s="498"/>
      <c r="X35" s="128" t="str">
        <f>IF(W$30="","",VLOOKUP($A$34&amp;W$29,$AV$15:$AX$26,3,FALSE))</f>
        <v/>
      </c>
      <c r="Y35" s="128"/>
      <c r="Z35" s="128" t="str">
        <f>IF(W$30="","",VLOOKUP(W$29&amp;$A$34,$AV$15:$AX$26,3,FALSE))</f>
        <v/>
      </c>
      <c r="AA35" s="500"/>
      <c r="AB35" s="501"/>
      <c r="AC35" s="502"/>
      <c r="AD35" s="503"/>
      <c r="AE35" s="503"/>
      <c r="AF35" s="503"/>
      <c r="AG35" s="503"/>
      <c r="AH35" s="503"/>
      <c r="AI35" s="503"/>
      <c r="AJ35" s="482"/>
      <c r="AK35" s="483"/>
      <c r="AL35" s="486"/>
      <c r="AM35" s="483"/>
      <c r="AN35" s="486"/>
      <c r="AO35" s="483"/>
      <c r="AP35" s="544"/>
      <c r="AQ35" s="545"/>
      <c r="AR35" s="546"/>
      <c r="AS35" s="127"/>
      <c r="AT35" s="125"/>
      <c r="AU35" s="125"/>
      <c r="AV35" s="125"/>
      <c r="AW35" s="125"/>
      <c r="AX35" s="124"/>
      <c r="AY35" s="124"/>
    </row>
    <row r="36" spans="1:51" s="123" customFormat="1" ht="18" customHeight="1" x14ac:dyDescent="0.15">
      <c r="A36" s="461"/>
      <c r="B36" s="464"/>
      <c r="C36" s="495" t="str">
        <f>IF(OR(C34="",G34=""),"",IF(C34&gt;G34,"○",IF(C34=G34,"△",IF(C34&lt;G34,"☓",""))))</f>
        <v>☓</v>
      </c>
      <c r="D36" s="496"/>
      <c r="E36" s="496"/>
      <c r="F36" s="496"/>
      <c r="G36" s="506"/>
      <c r="H36" s="489"/>
      <c r="I36" s="490"/>
      <c r="J36" s="490"/>
      <c r="K36" s="490"/>
      <c r="L36" s="491"/>
      <c r="M36" s="495" t="str">
        <f>IF(OR(M34="",Q34=""),"",IF(M34&gt;Q34,"○",IF(M34=Q34,"△",IF(M34&lt;Q34,"☓",""))))</f>
        <v>☓</v>
      </c>
      <c r="N36" s="496"/>
      <c r="O36" s="496"/>
      <c r="P36" s="496"/>
      <c r="Q36" s="506"/>
      <c r="R36" s="495" t="str">
        <f>IF(OR(R34="",V34=""),"",IF(R34&gt;V34,"○",IF(R34=V34,"△",IF(R34&lt;V34,"☓",""))))</f>
        <v>☓</v>
      </c>
      <c r="S36" s="496"/>
      <c r="T36" s="496"/>
      <c r="U36" s="496"/>
      <c r="V36" s="506"/>
      <c r="W36" s="495" t="str">
        <f>IF(OR(W34="",AA34=""),"",IF(W34&gt;AA34,"○",IF(W34=AA34,"△",IF(W34&lt;AA34,"●",""))))</f>
        <v/>
      </c>
      <c r="X36" s="496"/>
      <c r="Y36" s="496"/>
      <c r="Z36" s="496"/>
      <c r="AA36" s="496"/>
      <c r="AB36" s="501"/>
      <c r="AC36" s="502"/>
      <c r="AD36" s="503"/>
      <c r="AE36" s="503"/>
      <c r="AF36" s="503"/>
      <c r="AG36" s="503"/>
      <c r="AH36" s="503"/>
      <c r="AI36" s="503"/>
      <c r="AJ36" s="409"/>
      <c r="AK36" s="484"/>
      <c r="AL36" s="487"/>
      <c r="AM36" s="484"/>
      <c r="AN36" s="487"/>
      <c r="AO36" s="484"/>
      <c r="AP36" s="547"/>
      <c r="AQ36" s="548"/>
      <c r="AR36" s="549"/>
      <c r="AS36" s="126"/>
      <c r="AT36" s="125">
        <f>B36</f>
        <v>0</v>
      </c>
      <c r="AU36" s="125"/>
      <c r="AV36" s="125"/>
      <c r="AW36" s="125"/>
      <c r="AX36" s="124"/>
      <c r="AY36" s="124"/>
    </row>
    <row r="37" spans="1:51" s="123" customFormat="1" ht="13.5" customHeight="1" x14ac:dyDescent="0.15">
      <c r="A37" s="459">
        <f>IF($P$10&gt;2,AT8,"")</f>
        <v>5</v>
      </c>
      <c r="B37" s="462" t="str">
        <f>IF(H8="","",LEFT(H8,10))</f>
        <v>桜ヶ丘</v>
      </c>
      <c r="C37" s="497">
        <f>IF(AND(D37="",D38=""),"",SUM(D37:D38))</f>
        <v>0</v>
      </c>
      <c r="D37" s="131">
        <f>AK25</f>
        <v>0</v>
      </c>
      <c r="E37" s="131" t="s">
        <v>43</v>
      </c>
      <c r="F37" s="131">
        <f>AI25</f>
        <v>5</v>
      </c>
      <c r="G37" s="504">
        <f>IF(AND(F37="",F38=""),"",SUM(F37:F38))</f>
        <v>12</v>
      </c>
      <c r="H37" s="497">
        <f>IF(AND(I37="",I38=""),"",SUM(I37:I38))</f>
        <v>4</v>
      </c>
      <c r="I37" s="131">
        <f>AK19</f>
        <v>0</v>
      </c>
      <c r="J37" s="131" t="s">
        <v>43</v>
      </c>
      <c r="K37" s="131">
        <f>AI19</f>
        <v>0</v>
      </c>
      <c r="L37" s="504">
        <f>IF(AND(K37="",K38=""),"",SUM(K37:K38))</f>
        <v>0</v>
      </c>
      <c r="M37" s="465"/>
      <c r="N37" s="132"/>
      <c r="O37" s="132"/>
      <c r="P37" s="132"/>
      <c r="Q37" s="467"/>
      <c r="R37" s="497">
        <f>IF(AND(S37="",S38=""),"",SUM(S37:S38))</f>
        <v>0</v>
      </c>
      <c r="S37" s="131">
        <f>AI17</f>
        <v>0</v>
      </c>
      <c r="T37" s="131" t="s">
        <v>43</v>
      </c>
      <c r="U37" s="131">
        <f>AK17</f>
        <v>5</v>
      </c>
      <c r="V37" s="504">
        <f>IF(AND(U37="",U38=""),"",SUM(U37:U38))</f>
        <v>5</v>
      </c>
      <c r="W37" s="497" t="str">
        <f>IF(AND(X37="",X38=""),"",SUM(X37:X38))</f>
        <v/>
      </c>
      <c r="X37" s="131" t="str">
        <f>IF(W$30="","",VLOOKUP($A$37&amp;W$29,$AV$15:$AX$26,2,FALSE))</f>
        <v/>
      </c>
      <c r="Y37" s="131"/>
      <c r="Z37" s="131" t="str">
        <f>IF(W$30="","",VLOOKUP(W$29&amp;$A$37,$AV$15:$AX$26,2,FALSE))</f>
        <v/>
      </c>
      <c r="AA37" s="499" t="str">
        <f>IF(AND(Z37="",Z38=""),"",SUM(Z37:Z38))</f>
        <v/>
      </c>
      <c r="AB37" s="501">
        <f>IF(AND($C39="",$H39="",$M39="",$R39="",$W39=""),"",SUM(3*AD37,1*AF37))</f>
        <v>3</v>
      </c>
      <c r="AC37" s="502"/>
      <c r="AD37" s="503">
        <f>IF(AND($C39="",$H39="",$M39="",$R39="",$W39=""),"",COUNTIF($C39:$AA39,"○"))</f>
        <v>1</v>
      </c>
      <c r="AE37" s="503"/>
      <c r="AF37" s="503">
        <f>IF(AND($C39="",$H39="",$M39="",$R39="",$W39=""),"",COUNTIF($C39:$AA39,"△"))</f>
        <v>0</v>
      </c>
      <c r="AG37" s="503"/>
      <c r="AH37" s="503">
        <f>IF(AND($C39="",$H39="",$M39="",$R39="",$W39=""),"",COUNTIF($C39:$AA39,"●"))</f>
        <v>0</v>
      </c>
      <c r="AI37" s="503"/>
      <c r="AJ37" s="480">
        <f>IF(AND(C37="",H37="",M37="",R37="",W37=""),"",SUM(C37,H37,M37,R37,W37))</f>
        <v>4</v>
      </c>
      <c r="AK37" s="481"/>
      <c r="AL37" s="485">
        <f>IF(AND(G37="",L37="",Q37="",V37="",AA37=""),"",SUM(G37,L37,Q37,V37,AA37))</f>
        <v>17</v>
      </c>
      <c r="AM37" s="481"/>
      <c r="AN37" s="485">
        <f>IF(OR(AJ37="",AL37=""),"",AJ37-AL37)</f>
        <v>-13</v>
      </c>
      <c r="AO37" s="481"/>
      <c r="AP37" s="541">
        <f>IF(OR($AI$26="",$AK$26=""),"",RANK(AS37,$AS$31:$AS$42))</f>
        <v>3</v>
      </c>
      <c r="AQ37" s="542"/>
      <c r="AR37" s="543"/>
      <c r="AS37" s="130">
        <f>SUM($AB37*10000,$AD37*1000,$AN37*100,$AJ37)</f>
        <v>29704</v>
      </c>
      <c r="AT37" s="125" t="str">
        <f>B37</f>
        <v>桜ヶ丘</v>
      </c>
      <c r="AU37" s="125"/>
      <c r="AV37" s="125"/>
      <c r="AW37" s="125"/>
      <c r="AX37" s="124"/>
      <c r="AY37" s="124"/>
    </row>
    <row r="38" spans="1:51" s="123" customFormat="1" ht="13.5" customHeight="1" x14ac:dyDescent="0.15">
      <c r="A38" s="460"/>
      <c r="B38" s="463"/>
      <c r="C38" s="498"/>
      <c r="D38" s="128">
        <f>AK26</f>
        <v>0</v>
      </c>
      <c r="E38" s="128" t="s">
        <v>43</v>
      </c>
      <c r="F38" s="128">
        <f>AI26</f>
        <v>7</v>
      </c>
      <c r="G38" s="505"/>
      <c r="H38" s="498"/>
      <c r="I38" s="128">
        <f>AK20</f>
        <v>4</v>
      </c>
      <c r="J38" s="128" t="s">
        <v>43</v>
      </c>
      <c r="K38" s="128">
        <f>AI20</f>
        <v>0</v>
      </c>
      <c r="L38" s="505"/>
      <c r="M38" s="466"/>
      <c r="N38" s="129"/>
      <c r="O38" s="129"/>
      <c r="P38" s="129"/>
      <c r="Q38" s="468"/>
      <c r="R38" s="498"/>
      <c r="S38" s="128">
        <f>AI18</f>
        <v>0</v>
      </c>
      <c r="T38" s="128" t="s">
        <v>43</v>
      </c>
      <c r="U38" s="128">
        <f>AK18</f>
        <v>0</v>
      </c>
      <c r="V38" s="505"/>
      <c r="W38" s="498"/>
      <c r="X38" s="128" t="str">
        <f>IF(W$30="","",VLOOKUP($A$37&amp;W$29,$AV$15:$AX$26,3,FALSE))</f>
        <v/>
      </c>
      <c r="Y38" s="128"/>
      <c r="Z38" s="128" t="str">
        <f>IF(W$30="","",VLOOKUP(W$29&amp;$A$37,$AV$15:$AX$26,3,FALSE))</f>
        <v/>
      </c>
      <c r="AA38" s="500"/>
      <c r="AB38" s="501"/>
      <c r="AC38" s="502"/>
      <c r="AD38" s="503"/>
      <c r="AE38" s="503"/>
      <c r="AF38" s="503"/>
      <c r="AG38" s="503"/>
      <c r="AH38" s="503"/>
      <c r="AI38" s="503"/>
      <c r="AJ38" s="482"/>
      <c r="AK38" s="483"/>
      <c r="AL38" s="486"/>
      <c r="AM38" s="483"/>
      <c r="AN38" s="486"/>
      <c r="AO38" s="483"/>
      <c r="AP38" s="544"/>
      <c r="AQ38" s="545"/>
      <c r="AR38" s="546"/>
      <c r="AS38" s="127"/>
      <c r="AT38" s="125"/>
      <c r="AU38" s="125"/>
      <c r="AV38" s="125"/>
      <c r="AW38" s="125"/>
      <c r="AX38" s="124"/>
      <c r="AY38" s="124"/>
    </row>
    <row r="39" spans="1:51" s="123" customFormat="1" ht="18" customHeight="1" x14ac:dyDescent="0.15">
      <c r="A39" s="461"/>
      <c r="B39" s="464"/>
      <c r="C39" s="495" t="str">
        <f>IF(OR(C37="",G37=""),"",IF(C37&gt;G37,"○",IF(C37=G37,"△",IF(C37&lt;G37,"☓",""))))</f>
        <v>☓</v>
      </c>
      <c r="D39" s="496"/>
      <c r="E39" s="496"/>
      <c r="F39" s="496"/>
      <c r="G39" s="506"/>
      <c r="H39" s="495" t="str">
        <f>IF(OR(H37="",L37=""),"",IF(H37&gt;L37,"○",IF(H37=L37,"△",IF(H37&lt;L37,"☓",""))))</f>
        <v>○</v>
      </c>
      <c r="I39" s="496"/>
      <c r="J39" s="496"/>
      <c r="K39" s="496"/>
      <c r="L39" s="506"/>
      <c r="M39" s="489"/>
      <c r="N39" s="490"/>
      <c r="O39" s="490"/>
      <c r="P39" s="490"/>
      <c r="Q39" s="491"/>
      <c r="R39" s="495" t="str">
        <f>IF(OR(R37="",V37=""),"",IF(R37&gt;V37,"○",IF(R37=V37,"△",IF(R37&lt;V37,"☓",""))))</f>
        <v>☓</v>
      </c>
      <c r="S39" s="496"/>
      <c r="T39" s="496"/>
      <c r="U39" s="496"/>
      <c r="V39" s="506"/>
      <c r="W39" s="495" t="str">
        <f>IF(OR(W37="",AA37=""),"",IF(W37&gt;AA37,"○",IF(W37=AA37,"△",IF(W37&lt;AA37,"●",""))))</f>
        <v/>
      </c>
      <c r="X39" s="496"/>
      <c r="Y39" s="496"/>
      <c r="Z39" s="496"/>
      <c r="AA39" s="496"/>
      <c r="AB39" s="501"/>
      <c r="AC39" s="502"/>
      <c r="AD39" s="503"/>
      <c r="AE39" s="503"/>
      <c r="AF39" s="503"/>
      <c r="AG39" s="503"/>
      <c r="AH39" s="503"/>
      <c r="AI39" s="503"/>
      <c r="AJ39" s="409"/>
      <c r="AK39" s="484"/>
      <c r="AL39" s="487"/>
      <c r="AM39" s="484"/>
      <c r="AN39" s="487"/>
      <c r="AO39" s="484"/>
      <c r="AP39" s="547"/>
      <c r="AQ39" s="548"/>
      <c r="AR39" s="549"/>
      <c r="AS39" s="126"/>
      <c r="AT39" s="125">
        <f>B39</f>
        <v>0</v>
      </c>
      <c r="AU39" s="125"/>
      <c r="AV39" s="125"/>
      <c r="AW39" s="125"/>
      <c r="AX39" s="124"/>
      <c r="AY39" s="124"/>
    </row>
    <row r="40" spans="1:51" s="123" customFormat="1" ht="13.5" customHeight="1" x14ac:dyDescent="0.15">
      <c r="A40" s="459">
        <f>IF($P$10&gt;3,AT9,"")</f>
        <v>2</v>
      </c>
      <c r="B40" s="462" t="str">
        <f>IF(H9="","",LEFT(H9,10))</f>
        <v>瀬戸中</v>
      </c>
      <c r="C40" s="497">
        <f>IF(AND(D40="",D41=""),"",SUM(D40:D41))</f>
        <v>1</v>
      </c>
      <c r="D40" s="131">
        <f>AK21</f>
        <v>1</v>
      </c>
      <c r="E40" s="131" t="s">
        <v>43</v>
      </c>
      <c r="F40" s="131">
        <f>AI21</f>
        <v>2</v>
      </c>
      <c r="G40" s="504">
        <f>IF(AND(F40="",F41=""),"",SUM(F40:F41))</f>
        <v>7</v>
      </c>
      <c r="H40" s="497">
        <f>IF(AND(I40="",I41=""),"",SUM(I40:I41))</f>
        <v>13</v>
      </c>
      <c r="I40" s="131">
        <f>AK23</f>
        <v>5</v>
      </c>
      <c r="J40" s="131" t="s">
        <v>43</v>
      </c>
      <c r="K40" s="131">
        <f>AI23</f>
        <v>0</v>
      </c>
      <c r="L40" s="504">
        <f>IF(AND(K40="",K41=""),"",SUM(K40:K41))</f>
        <v>0</v>
      </c>
      <c r="M40" s="497">
        <f>IF(AND(N40="",N41=""),"",SUM(N40:N41))</f>
        <v>5</v>
      </c>
      <c r="N40" s="131">
        <f>AK17</f>
        <v>5</v>
      </c>
      <c r="O40" s="131" t="s">
        <v>43</v>
      </c>
      <c r="P40" s="131">
        <f>AI17</f>
        <v>0</v>
      </c>
      <c r="Q40" s="504">
        <f>IF(AND(P40="",P41=""),"",SUM(P40:P41))</f>
        <v>0</v>
      </c>
      <c r="R40" s="465"/>
      <c r="S40" s="132"/>
      <c r="T40" s="132"/>
      <c r="U40" s="132"/>
      <c r="V40" s="467"/>
      <c r="W40" s="497" t="str">
        <f>IF(AND(X40="",X41=""),"",SUM(X40:X41))</f>
        <v/>
      </c>
      <c r="X40" s="131" t="str">
        <f>IF(W$30="","",VLOOKUP($A$40&amp;W$29,$AV$15:$AX$26,2,FALSE))</f>
        <v/>
      </c>
      <c r="Y40" s="131"/>
      <c r="Z40" s="131" t="str">
        <f>IF(W$30="","",VLOOKUP(W$29&amp;$A40,$AV$15:$AX$26,2,FALSE))</f>
        <v/>
      </c>
      <c r="AA40" s="499" t="str">
        <f>IF(AND(Z40="",Z41=""),"",SUM(Z40:Z41))</f>
        <v/>
      </c>
      <c r="AB40" s="501">
        <f>IF(AND($C42="",$H42="",$M42="",$R42="",$W42=""),"",SUM(3*AD40,1*AF40))</f>
        <v>6</v>
      </c>
      <c r="AC40" s="502"/>
      <c r="AD40" s="503">
        <f>IF(AND($C42="",$H42="",$M42="",$R42="",$W42=""),"",COUNTIF($C42:$AA42,"○"))</f>
        <v>2</v>
      </c>
      <c r="AE40" s="503"/>
      <c r="AF40" s="503">
        <f>IF(AND($C42="",$H42="",$M42="",$R42="",$W42=""),"",COUNTIF($C42:$AA42,"△"))</f>
        <v>0</v>
      </c>
      <c r="AG40" s="503"/>
      <c r="AH40" s="503">
        <f>IF(AND($C42="",$H42="",$M42="",$R42="",$W42=""),"",COUNTIF($C42:$AA42,"●"))</f>
        <v>0</v>
      </c>
      <c r="AI40" s="503"/>
      <c r="AJ40" s="480">
        <f>IF(AND(C40="",H40="",M40="",R40="",W40=""),"",SUM(C40,H40,M40,R40,W40))</f>
        <v>19</v>
      </c>
      <c r="AK40" s="481"/>
      <c r="AL40" s="485">
        <f>IF(AND(G40="",L40="",Q40="",V40="",AA40=""),"",SUM(G40,L40,Q40,V40,AA40))</f>
        <v>7</v>
      </c>
      <c r="AM40" s="481"/>
      <c r="AN40" s="485">
        <f>IF(OR(AJ40="",AL40=""),"",AJ40-AL40)</f>
        <v>12</v>
      </c>
      <c r="AO40" s="481"/>
      <c r="AP40" s="541">
        <f>IF(OR($AI$26="",$AK$26=""),"",RANK(AS40,$AS$31:$AS$42))</f>
        <v>2</v>
      </c>
      <c r="AQ40" s="542"/>
      <c r="AR40" s="543"/>
      <c r="AS40" s="130">
        <f>SUM($AB40*10000,$AD40*1000,$AN40*100,$AJ40)</f>
        <v>63219</v>
      </c>
      <c r="AT40" s="125" t="str">
        <f>B40</f>
        <v>瀬戸中</v>
      </c>
      <c r="AU40" s="125"/>
      <c r="AV40" s="125"/>
      <c r="AW40" s="125"/>
      <c r="AX40" s="124"/>
      <c r="AY40" s="124"/>
    </row>
    <row r="41" spans="1:51" s="123" customFormat="1" ht="13.5" customHeight="1" x14ac:dyDescent="0.15">
      <c r="A41" s="460"/>
      <c r="B41" s="463"/>
      <c r="C41" s="498"/>
      <c r="D41" s="128">
        <f>AK22</f>
        <v>0</v>
      </c>
      <c r="E41" s="128" t="s">
        <v>43</v>
      </c>
      <c r="F41" s="128">
        <f>AI22</f>
        <v>5</v>
      </c>
      <c r="G41" s="505"/>
      <c r="H41" s="498"/>
      <c r="I41" s="128">
        <f>AK24</f>
        <v>8</v>
      </c>
      <c r="J41" s="128" t="s">
        <v>43</v>
      </c>
      <c r="K41" s="128">
        <f>AI24</f>
        <v>0</v>
      </c>
      <c r="L41" s="505"/>
      <c r="M41" s="498"/>
      <c r="N41" s="128">
        <f>AK18</f>
        <v>0</v>
      </c>
      <c r="O41" s="128" t="s">
        <v>43</v>
      </c>
      <c r="P41" s="128">
        <f>AI18</f>
        <v>0</v>
      </c>
      <c r="Q41" s="505"/>
      <c r="R41" s="466"/>
      <c r="S41" s="129"/>
      <c r="T41" s="129"/>
      <c r="U41" s="129"/>
      <c r="V41" s="468"/>
      <c r="W41" s="498"/>
      <c r="X41" s="128" t="str">
        <f>IF(W$30="","",VLOOKUP($A$40&amp;W$29,$AV$15:$AX$26,3,FALSE))</f>
        <v/>
      </c>
      <c r="Y41" s="128"/>
      <c r="Z41" s="128" t="str">
        <f>IF(W$30="","",VLOOKUP(W$29&amp;$A40,$AV$15:$AX$26,3,FALSE))</f>
        <v/>
      </c>
      <c r="AA41" s="500"/>
      <c r="AB41" s="501"/>
      <c r="AC41" s="502"/>
      <c r="AD41" s="503"/>
      <c r="AE41" s="503"/>
      <c r="AF41" s="503"/>
      <c r="AG41" s="503"/>
      <c r="AH41" s="503"/>
      <c r="AI41" s="503"/>
      <c r="AJ41" s="482"/>
      <c r="AK41" s="483"/>
      <c r="AL41" s="486"/>
      <c r="AM41" s="483"/>
      <c r="AN41" s="486"/>
      <c r="AO41" s="483"/>
      <c r="AP41" s="544"/>
      <c r="AQ41" s="545"/>
      <c r="AR41" s="546"/>
      <c r="AS41" s="127"/>
      <c r="AT41" s="125"/>
      <c r="AU41" s="125"/>
      <c r="AV41" s="125"/>
      <c r="AW41" s="125"/>
      <c r="AX41" s="124"/>
      <c r="AY41" s="124"/>
    </row>
    <row r="42" spans="1:51" s="123" customFormat="1" ht="18" customHeight="1" x14ac:dyDescent="0.15">
      <c r="A42" s="461"/>
      <c r="B42" s="464"/>
      <c r="C42" s="495" t="str">
        <f>IF(OR(C40="",G40=""),"",IF(C40&gt;G40,"○",IF(C40=G40,"△",IF(C40&lt;G40,"☓",""))))</f>
        <v>☓</v>
      </c>
      <c r="D42" s="496"/>
      <c r="E42" s="496"/>
      <c r="F42" s="496"/>
      <c r="G42" s="506"/>
      <c r="H42" s="495" t="str">
        <f>IF(OR(H40="",L40=""),"",IF(H40&gt;L40,"○",IF(H40=L40,"△",IF(H40&lt;L40,"☓",""))))</f>
        <v>○</v>
      </c>
      <c r="I42" s="496"/>
      <c r="J42" s="496"/>
      <c r="K42" s="496"/>
      <c r="L42" s="506"/>
      <c r="M42" s="495" t="str">
        <f>IF(OR(M40="",Q40=""),"",IF(M40&gt;Q40,"○",IF(M40=Q40,"△",IF(M40&lt;Q40,"☓",""))))</f>
        <v>○</v>
      </c>
      <c r="N42" s="496"/>
      <c r="O42" s="496"/>
      <c r="P42" s="496"/>
      <c r="Q42" s="506"/>
      <c r="R42" s="489"/>
      <c r="S42" s="490"/>
      <c r="T42" s="490"/>
      <c r="U42" s="490"/>
      <c r="V42" s="491"/>
      <c r="W42" s="495" t="str">
        <f>IF(OR(W40="",AA40=""),"",IF(W40&gt;AA40,"○",IF(W40=AA40,"△",IF(W40&lt;AA40,"●",""))))</f>
        <v/>
      </c>
      <c r="X42" s="496"/>
      <c r="Y42" s="496"/>
      <c r="Z42" s="496"/>
      <c r="AA42" s="496"/>
      <c r="AB42" s="501"/>
      <c r="AC42" s="502"/>
      <c r="AD42" s="503"/>
      <c r="AE42" s="503"/>
      <c r="AF42" s="503"/>
      <c r="AG42" s="503"/>
      <c r="AH42" s="503"/>
      <c r="AI42" s="503"/>
      <c r="AJ42" s="409"/>
      <c r="AK42" s="484"/>
      <c r="AL42" s="487"/>
      <c r="AM42" s="484"/>
      <c r="AN42" s="487"/>
      <c r="AO42" s="484"/>
      <c r="AP42" s="547"/>
      <c r="AQ42" s="548"/>
      <c r="AR42" s="549"/>
      <c r="AS42" s="126"/>
      <c r="AT42" s="125">
        <f>B42</f>
        <v>0</v>
      </c>
      <c r="AU42" s="125"/>
      <c r="AV42" s="125"/>
      <c r="AW42" s="125"/>
      <c r="AX42" s="124"/>
      <c r="AY42" s="124"/>
    </row>
    <row r="43" spans="1:51" s="123" customFormat="1" ht="13.5" hidden="1" customHeight="1" x14ac:dyDescent="0.15">
      <c r="A43" s="459" t="str">
        <f>IF($P$10&gt;4,AT10,"")</f>
        <v/>
      </c>
      <c r="B43" s="511" t="str">
        <f>IF(H10="","",LEFT(VLOOKUP(A43,$G$6:$P$10,2,FALSE),10))</f>
        <v/>
      </c>
      <c r="C43" s="514" t="str">
        <f>IF(AND(D43="",D44=""),"",SUM(D43:D44))</f>
        <v/>
      </c>
      <c r="D43" s="238" t="str">
        <f>IF(OR(B43="",C$30=""),"",VLOOKUP($A43&amp;C$29,$AV$15:$AX$26,2,FALSE))</f>
        <v/>
      </c>
      <c r="E43" s="238" t="s">
        <v>43</v>
      </c>
      <c r="F43" s="238" t="str">
        <f>IF(OR(B43="",C$30=""),"",VLOOKUP(C$29&amp;$A43,$AV$15:$AX$26,2,FALSE))</f>
        <v/>
      </c>
      <c r="G43" s="516" t="str">
        <f>IF(AND(F43="",F44=""),"",SUM(F43:F44))</f>
        <v/>
      </c>
      <c r="H43" s="514" t="str">
        <f>IF(AND(I43="",I44=""),"",SUM(I43:I44))</f>
        <v/>
      </c>
      <c r="I43" s="238" t="str">
        <f>IF(OR(B43="",$H$30=""),"",VLOOKUP($A43&amp;$H$29,$AV$15:$AX$26,2,FALSE))</f>
        <v/>
      </c>
      <c r="J43" s="238" t="s">
        <v>43</v>
      </c>
      <c r="K43" s="238" t="str">
        <f>IF(OR(B43="",$H$30=""),"",VLOOKUP(H$29&amp;$A43,$AV$15:$AX$26,2,FALSE))</f>
        <v/>
      </c>
      <c r="L43" s="516" t="str">
        <f>IF(AND(K43="",K44=""),"",SUM(K43:K44))</f>
        <v/>
      </c>
      <c r="M43" s="514" t="str">
        <f>IF(AND(N43="",N44=""),"",SUM(N43:N44))</f>
        <v/>
      </c>
      <c r="N43" s="238" t="str">
        <f>IF(OR(B43="",$M$30=""),"",VLOOKUP($A43&amp;M29,$AV$15:$AX$26,2,FALSE))</f>
        <v/>
      </c>
      <c r="O43" s="238" t="s">
        <v>43</v>
      </c>
      <c r="P43" s="238" t="str">
        <f>IF(OR(B43="",$H$30=""),"",VLOOKUP(M$29&amp;$A$43,$AV$15:$AX$26,2,FALSE))</f>
        <v/>
      </c>
      <c r="Q43" s="516" t="str">
        <f>IF(AND(P43="",P44=""),"",SUM(P43:P44))</f>
        <v/>
      </c>
      <c r="R43" s="514" t="str">
        <f>IF(AND(S43="",S44=""),"",SUM(S43:S44))</f>
        <v/>
      </c>
      <c r="S43" s="238" t="str">
        <f>IF(OR(B43="",R$30=""),"",VLOOKUP(A43&amp;R$29,$AV$15:$AX$26,2,FALSE))</f>
        <v/>
      </c>
      <c r="T43" s="238" t="s">
        <v>43</v>
      </c>
      <c r="U43" s="238" t="str">
        <f>IF(OR(B43="",R$30=""),"",VLOOKUP(R$29&amp;A43,$AV$15:$AX$26,2,FALSE))</f>
        <v/>
      </c>
      <c r="V43" s="516" t="str">
        <f>IF(AND(U43="",U44=""),"",SUM(U43:U44))</f>
        <v/>
      </c>
      <c r="W43" s="535"/>
      <c r="X43" s="237"/>
      <c r="Y43" s="237"/>
      <c r="Z43" s="237"/>
      <c r="AA43" s="537"/>
      <c r="AB43" s="529" t="str">
        <f>IF(AND($C45="",$H45="",$M45="",$R45="",$W45=""),"",SUM(3*AD43,1*AF43))</f>
        <v/>
      </c>
      <c r="AC43" s="530"/>
      <c r="AD43" s="531" t="str">
        <f>IF(AND($C45="",$H45="",$M45="",$R45="",$W45=""),"",COUNTIF($C45:$AA45,"○"))</f>
        <v/>
      </c>
      <c r="AE43" s="531"/>
      <c r="AF43" s="531" t="str">
        <f>IF(AND($C45="",$H45="",$M45="",$R45="",$W45=""),"",COUNTIF($C45:$AA45,"△"))</f>
        <v/>
      </c>
      <c r="AG43" s="531"/>
      <c r="AH43" s="531" t="str">
        <f>IF(AND($C45="",$H45="",$M45="",$R45="",$W45=""),"",COUNTIF($C45:$AA45,"●"))</f>
        <v/>
      </c>
      <c r="AI43" s="531"/>
      <c r="AJ43" s="532" t="str">
        <f>IF(AND(C43="",H43="",M43="",R43="",W43=""),"",SUM(C43,H43,M43,R43,W43))</f>
        <v/>
      </c>
      <c r="AK43" s="519"/>
      <c r="AL43" s="518" t="str">
        <f>IF(AND(G43="",L43="",Q43="",V43="",AA43=""),"",SUM(G43,L43,Q43,V43,AA43))</f>
        <v/>
      </c>
      <c r="AM43" s="519"/>
      <c r="AN43" s="518" t="str">
        <f>IF(AND(AJ43="",AL43=""),"",AJ43-AL43)</f>
        <v/>
      </c>
      <c r="AO43" s="519"/>
      <c r="AP43" s="541" t="str">
        <f>IF(OR($AJ$31="",$AJ$34="",$AJ$37="",$AJ$40="",AJ43=""),"",RANK(AS43,$AS$31:$AS$42))</f>
        <v/>
      </c>
      <c r="AQ43" s="542"/>
      <c r="AR43" s="543"/>
      <c r="AS43" s="130" t="e">
        <f>SUM($AB43*10000,$AD43*1000,$AN43*100,$AJ43)</f>
        <v>#VALUE!</v>
      </c>
      <c r="AT43" s="125" t="str">
        <f>B43</f>
        <v/>
      </c>
      <c r="AU43" s="125"/>
      <c r="AV43" s="125"/>
      <c r="AW43" s="125"/>
    </row>
    <row r="44" spans="1:51" s="123" customFormat="1" ht="13.5" hidden="1" customHeight="1" x14ac:dyDescent="0.15">
      <c r="A44" s="460"/>
      <c r="B44" s="512"/>
      <c r="C44" s="515"/>
      <c r="D44" s="236" t="str">
        <f>IF(OR(B43="",C$30=""),"",VLOOKUP($A43&amp;C$29,$AV$15:$AX$26,3,FALSE))</f>
        <v/>
      </c>
      <c r="E44" s="236" t="s">
        <v>43</v>
      </c>
      <c r="F44" s="236" t="str">
        <f>IF(OR(B43="",C$30=""),"",VLOOKUP(C$29&amp;$A43,$AV$15:$AX$26,3,FALSE))</f>
        <v/>
      </c>
      <c r="G44" s="517"/>
      <c r="H44" s="515"/>
      <c r="I44" s="236" t="str">
        <f>IF(OR(B43="",H$30=""),"",VLOOKUP($A43&amp;$H$29,$AV$15:$AX$26,3,FALSE))</f>
        <v/>
      </c>
      <c r="J44" s="236" t="s">
        <v>43</v>
      </c>
      <c r="K44" s="236" t="str">
        <f>IF(OR(B43="",H$30=""),"",VLOOKUP(H$29&amp;$A43,$AV$15:$AX$26,3,FALSE))</f>
        <v/>
      </c>
      <c r="L44" s="517"/>
      <c r="M44" s="515"/>
      <c r="N44" s="236" t="str">
        <f>IF(OR(B43="",M$30=""),"",VLOOKUP($A43&amp;$M$29,$AV$15:$AX$26,3,FALSE))</f>
        <v/>
      </c>
      <c r="O44" s="236" t="s">
        <v>43</v>
      </c>
      <c r="P44" s="236" t="str">
        <f>IF(OR(B43="",M$30=""),"",VLOOKUP(M$29&amp;$A43,$AV$15:$AX$26,3,FALSE))</f>
        <v/>
      </c>
      <c r="Q44" s="517"/>
      <c r="R44" s="515"/>
      <c r="S44" s="236" t="str">
        <f>IF(OR(B43="",R$30=""),"",VLOOKUP(A43&amp;R$29,$AV$15:$AX$26,3,FALSE))</f>
        <v/>
      </c>
      <c r="T44" s="236" t="s">
        <v>43</v>
      </c>
      <c r="U44" s="236" t="str">
        <f>IF(OR(B43="",R$30=""),"",VLOOKUP(R$29&amp;A43,$AV$15:$AX$26,3,FALSE))</f>
        <v/>
      </c>
      <c r="V44" s="517"/>
      <c r="W44" s="536"/>
      <c r="X44" s="235"/>
      <c r="Y44" s="235"/>
      <c r="Z44" s="235"/>
      <c r="AA44" s="538"/>
      <c r="AB44" s="529"/>
      <c r="AC44" s="530"/>
      <c r="AD44" s="531"/>
      <c r="AE44" s="531"/>
      <c r="AF44" s="531"/>
      <c r="AG44" s="531"/>
      <c r="AH44" s="531"/>
      <c r="AI44" s="531"/>
      <c r="AJ44" s="533"/>
      <c r="AK44" s="521"/>
      <c r="AL44" s="520"/>
      <c r="AM44" s="521"/>
      <c r="AN44" s="520"/>
      <c r="AO44" s="521"/>
      <c r="AP44" s="544"/>
      <c r="AQ44" s="545"/>
      <c r="AR44" s="546"/>
      <c r="AS44" s="127"/>
      <c r="AT44" s="125"/>
      <c r="AU44" s="125"/>
      <c r="AV44" s="125"/>
      <c r="AW44" s="125"/>
    </row>
    <row r="45" spans="1:51" s="123" customFormat="1" ht="18" hidden="1" customHeight="1" x14ac:dyDescent="0.15">
      <c r="A45" s="461"/>
      <c r="B45" s="513"/>
      <c r="C45" s="524" t="str">
        <f>IF(OR(C43="",G43=""),"",IF(C43&gt;G43,"○",IF(C43=G43,"△",IF(C43&lt;G43,"●",""))))</f>
        <v/>
      </c>
      <c r="D45" s="525"/>
      <c r="E45" s="525"/>
      <c r="F45" s="525"/>
      <c r="G45" s="526"/>
      <c r="H45" s="524" t="str">
        <f>IF(OR(H43="",L43=""),"",IF(H43&gt;L43,"○",IF(H43=L43,"△",IF(H43&lt;L43,"●",""))))</f>
        <v/>
      </c>
      <c r="I45" s="525"/>
      <c r="J45" s="525"/>
      <c r="K45" s="525"/>
      <c r="L45" s="526"/>
      <c r="M45" s="524" t="str">
        <f>IF(OR(M43="",Q43=""),"",IF(M43&gt;Q43,"○",IF(M43=Q43,"△",IF(M43&lt;Q43,"●",""))))</f>
        <v/>
      </c>
      <c r="N45" s="525"/>
      <c r="O45" s="525"/>
      <c r="P45" s="525"/>
      <c r="Q45" s="526"/>
      <c r="R45" s="524" t="str">
        <f>IF(OR(R43="",V43=""),"",IF(R43&gt;V43,"○",IF(R43=V43,"△",IF(R43&lt;V43,"●",""))))</f>
        <v/>
      </c>
      <c r="S45" s="525"/>
      <c r="T45" s="525"/>
      <c r="U45" s="525"/>
      <c r="V45" s="526"/>
      <c r="W45" s="527"/>
      <c r="X45" s="528"/>
      <c r="Y45" s="528"/>
      <c r="Z45" s="528"/>
      <c r="AA45" s="528"/>
      <c r="AB45" s="529"/>
      <c r="AC45" s="530"/>
      <c r="AD45" s="531"/>
      <c r="AE45" s="531"/>
      <c r="AF45" s="531"/>
      <c r="AG45" s="531"/>
      <c r="AH45" s="531"/>
      <c r="AI45" s="531"/>
      <c r="AJ45" s="534"/>
      <c r="AK45" s="523"/>
      <c r="AL45" s="522"/>
      <c r="AM45" s="523"/>
      <c r="AN45" s="522"/>
      <c r="AO45" s="523"/>
      <c r="AP45" s="547"/>
      <c r="AQ45" s="548"/>
      <c r="AR45" s="549"/>
      <c r="AS45" s="126"/>
      <c r="AT45" s="125">
        <f>B45</f>
        <v>0</v>
      </c>
      <c r="AU45" s="125"/>
      <c r="AV45" s="125"/>
      <c r="AW45" s="125"/>
    </row>
  </sheetData>
  <sheetProtection selectLockedCells="1"/>
  <mergeCells count="251">
    <mergeCell ref="AN43:AO45"/>
    <mergeCell ref="AP43:AR45"/>
    <mergeCell ref="C45:G45"/>
    <mergeCell ref="H45:L45"/>
    <mergeCell ref="M45:Q45"/>
    <mergeCell ref="R45:V45"/>
    <mergeCell ref="W45:AA45"/>
    <mergeCell ref="AB43:AC45"/>
    <mergeCell ref="AD43:AE45"/>
    <mergeCell ref="AF43:AG45"/>
    <mergeCell ref="AH43:AI45"/>
    <mergeCell ref="AJ43:AK45"/>
    <mergeCell ref="AL43:AM45"/>
    <mergeCell ref="M43:M44"/>
    <mergeCell ref="Q43:Q44"/>
    <mergeCell ref="R43:R44"/>
    <mergeCell ref="V43:V44"/>
    <mergeCell ref="W43:W44"/>
    <mergeCell ref="AA43:AA44"/>
    <mergeCell ref="A43:A45"/>
    <mergeCell ref="B43:B45"/>
    <mergeCell ref="C43:C44"/>
    <mergeCell ref="G43:G44"/>
    <mergeCell ref="H43:H44"/>
    <mergeCell ref="L43:L44"/>
    <mergeCell ref="AN40:AO42"/>
    <mergeCell ref="AP40:AR42"/>
    <mergeCell ref="C42:G42"/>
    <mergeCell ref="H42:L42"/>
    <mergeCell ref="M42:Q42"/>
    <mergeCell ref="R42:V42"/>
    <mergeCell ref="W42:AA42"/>
    <mergeCell ref="AB40:AC42"/>
    <mergeCell ref="AD40:AE42"/>
    <mergeCell ref="AF40:AG42"/>
    <mergeCell ref="AH40:AI42"/>
    <mergeCell ref="AJ40:AK42"/>
    <mergeCell ref="AL40:AM42"/>
    <mergeCell ref="M40:M41"/>
    <mergeCell ref="Q40:Q41"/>
    <mergeCell ref="R40:R41"/>
    <mergeCell ref="V40:V41"/>
    <mergeCell ref="W40:W41"/>
    <mergeCell ref="AA40:AA41"/>
    <mergeCell ref="A40:A42"/>
    <mergeCell ref="B40:B42"/>
    <mergeCell ref="C40:C41"/>
    <mergeCell ref="G40:G41"/>
    <mergeCell ref="H40:H41"/>
    <mergeCell ref="L40:L41"/>
    <mergeCell ref="AN37:AO39"/>
    <mergeCell ref="AP37:AR39"/>
    <mergeCell ref="C39:G39"/>
    <mergeCell ref="H39:L39"/>
    <mergeCell ref="M39:Q39"/>
    <mergeCell ref="R39:V39"/>
    <mergeCell ref="W39:AA39"/>
    <mergeCell ref="AB37:AC39"/>
    <mergeCell ref="AD37:AE39"/>
    <mergeCell ref="AF37:AG39"/>
    <mergeCell ref="AH37:AI39"/>
    <mergeCell ref="AJ37:AK39"/>
    <mergeCell ref="AL37:AM39"/>
    <mergeCell ref="M37:M38"/>
    <mergeCell ref="Q37:Q38"/>
    <mergeCell ref="R37:R38"/>
    <mergeCell ref="V37:V38"/>
    <mergeCell ref="W37:W38"/>
    <mergeCell ref="AA37:AA38"/>
    <mergeCell ref="A37:A39"/>
    <mergeCell ref="B37:B39"/>
    <mergeCell ref="C37:C38"/>
    <mergeCell ref="G37:G38"/>
    <mergeCell ref="H37:H38"/>
    <mergeCell ref="L37:L38"/>
    <mergeCell ref="AN34:AO36"/>
    <mergeCell ref="A34:A36"/>
    <mergeCell ref="B34:B36"/>
    <mergeCell ref="AP34:AR36"/>
    <mergeCell ref="C36:G36"/>
    <mergeCell ref="H36:L36"/>
    <mergeCell ref="M36:Q36"/>
    <mergeCell ref="R36:V36"/>
    <mergeCell ref="W36:AA36"/>
    <mergeCell ref="AB34:AC36"/>
    <mergeCell ref="AD34:AE36"/>
    <mergeCell ref="AF34:AG36"/>
    <mergeCell ref="AH34:AI36"/>
    <mergeCell ref="AJ34:AK36"/>
    <mergeCell ref="AL34:AM36"/>
    <mergeCell ref="M34:M35"/>
    <mergeCell ref="Q34:Q35"/>
    <mergeCell ref="R34:R35"/>
    <mergeCell ref="V34:V35"/>
    <mergeCell ref="W34:W35"/>
    <mergeCell ref="AA34:AA35"/>
    <mergeCell ref="C34:C35"/>
    <mergeCell ref="G34:G35"/>
    <mergeCell ref="H34:H35"/>
    <mergeCell ref="L34:L35"/>
    <mergeCell ref="AL31:AM33"/>
    <mergeCell ref="AN31:AO33"/>
    <mergeCell ref="AP31:AR33"/>
    <mergeCell ref="C33:G33"/>
    <mergeCell ref="H33:L33"/>
    <mergeCell ref="M33:Q33"/>
    <mergeCell ref="R33:V33"/>
    <mergeCell ref="W33:AA33"/>
    <mergeCell ref="V31:V32"/>
    <mergeCell ref="W31:W32"/>
    <mergeCell ref="AA31:AA32"/>
    <mergeCell ref="AB31:AC33"/>
    <mergeCell ref="AD31:AE33"/>
    <mergeCell ref="AF31:AG33"/>
    <mergeCell ref="AP30:AR30"/>
    <mergeCell ref="A31:A33"/>
    <mergeCell ref="B31:B33"/>
    <mergeCell ref="C31:C32"/>
    <mergeCell ref="G31:G32"/>
    <mergeCell ref="H31:H32"/>
    <mergeCell ref="L31:L32"/>
    <mergeCell ref="M31:M32"/>
    <mergeCell ref="Q31:Q32"/>
    <mergeCell ref="R31:R32"/>
    <mergeCell ref="AD30:AE30"/>
    <mergeCell ref="AF30:AG30"/>
    <mergeCell ref="AH30:AI30"/>
    <mergeCell ref="AJ30:AK30"/>
    <mergeCell ref="AL30:AM30"/>
    <mergeCell ref="AN30:AO30"/>
    <mergeCell ref="C30:G30"/>
    <mergeCell ref="H30:L30"/>
    <mergeCell ref="M30:Q30"/>
    <mergeCell ref="R30:V30"/>
    <mergeCell ref="W30:AA30"/>
    <mergeCell ref="AB30:AC30"/>
    <mergeCell ref="AH31:AI33"/>
    <mergeCell ref="AJ31:AK33"/>
    <mergeCell ref="AL25:AL26"/>
    <mergeCell ref="AM25:AQ26"/>
    <mergeCell ref="AR25:AR26"/>
    <mergeCell ref="AS25:AS26"/>
    <mergeCell ref="B27:AR27"/>
    <mergeCell ref="C29:G29"/>
    <mergeCell ref="H29:L29"/>
    <mergeCell ref="M29:Q29"/>
    <mergeCell ref="R29:V29"/>
    <mergeCell ref="W29:AA29"/>
    <mergeCell ref="C25:M26"/>
    <mergeCell ref="N25:P26"/>
    <mergeCell ref="Q25:T26"/>
    <mergeCell ref="U25:V26"/>
    <mergeCell ref="W25:Z26"/>
    <mergeCell ref="AA25:AA26"/>
    <mergeCell ref="AB25:AB26"/>
    <mergeCell ref="AC25:AG26"/>
    <mergeCell ref="AH25:AH26"/>
    <mergeCell ref="AL21:AL22"/>
    <mergeCell ref="AM21:AQ22"/>
    <mergeCell ref="AR21:AR22"/>
    <mergeCell ref="AS21:AS22"/>
    <mergeCell ref="C23:M24"/>
    <mergeCell ref="N23:P24"/>
    <mergeCell ref="Q23:T24"/>
    <mergeCell ref="U23:V24"/>
    <mergeCell ref="W23:Z24"/>
    <mergeCell ref="AA23:AA24"/>
    <mergeCell ref="AS23:AS24"/>
    <mergeCell ref="AB23:AB24"/>
    <mergeCell ref="AC23:AG24"/>
    <mergeCell ref="AH23:AH24"/>
    <mergeCell ref="AL23:AL24"/>
    <mergeCell ref="AM23:AQ24"/>
    <mergeCell ref="AR23:AR24"/>
    <mergeCell ref="C21:M22"/>
    <mergeCell ref="N21:P22"/>
    <mergeCell ref="Q21:T22"/>
    <mergeCell ref="U21:V22"/>
    <mergeCell ref="W21:Z22"/>
    <mergeCell ref="AA21:AA22"/>
    <mergeCell ref="AB21:AB22"/>
    <mergeCell ref="AC21:AG22"/>
    <mergeCell ref="AH21:AH22"/>
    <mergeCell ref="AR17:AR18"/>
    <mergeCell ref="AS17:AS18"/>
    <mergeCell ref="C19:M20"/>
    <mergeCell ref="N19:P20"/>
    <mergeCell ref="Q19:T20"/>
    <mergeCell ref="U19:V20"/>
    <mergeCell ref="W19:Z20"/>
    <mergeCell ref="AA19:AA20"/>
    <mergeCell ref="AS19:AS20"/>
    <mergeCell ref="AB19:AB20"/>
    <mergeCell ref="AC19:AG20"/>
    <mergeCell ref="AH19:AH20"/>
    <mergeCell ref="AL19:AL20"/>
    <mergeCell ref="AM19:AQ20"/>
    <mergeCell ref="AR19:AR20"/>
    <mergeCell ref="AS15:AS16"/>
    <mergeCell ref="C17:M18"/>
    <mergeCell ref="N17:P18"/>
    <mergeCell ref="Q17:T18"/>
    <mergeCell ref="U17:V18"/>
    <mergeCell ref="W17:Z18"/>
    <mergeCell ref="AA17:AA18"/>
    <mergeCell ref="AB17:AB18"/>
    <mergeCell ref="AC17:AG18"/>
    <mergeCell ref="AH17:AH18"/>
    <mergeCell ref="AB15:AB16"/>
    <mergeCell ref="AC15:AG16"/>
    <mergeCell ref="AH15:AH16"/>
    <mergeCell ref="AL15:AL16"/>
    <mergeCell ref="AM15:AQ16"/>
    <mergeCell ref="AR15:AR16"/>
    <mergeCell ref="C15:M16"/>
    <mergeCell ref="N15:P16"/>
    <mergeCell ref="Q15:T16"/>
    <mergeCell ref="U15:V16"/>
    <mergeCell ref="W15:Z16"/>
    <mergeCell ref="AA15:AA16"/>
    <mergeCell ref="AL17:AL18"/>
    <mergeCell ref="AM17:AQ18"/>
    <mergeCell ref="AG10:AK10"/>
    <mergeCell ref="AN12:AO12"/>
    <mergeCell ref="AW13:AX13"/>
    <mergeCell ref="C14:M14"/>
    <mergeCell ref="AB14:AF14"/>
    <mergeCell ref="AM14:AR14"/>
    <mergeCell ref="F9:G9"/>
    <mergeCell ref="H9:L9"/>
    <mergeCell ref="M9:P9"/>
    <mergeCell ref="R9:S9"/>
    <mergeCell ref="Q10:S10"/>
    <mergeCell ref="Z10:AD10"/>
    <mergeCell ref="F7:G7"/>
    <mergeCell ref="H7:L7"/>
    <mergeCell ref="M7:P7"/>
    <mergeCell ref="R7:S7"/>
    <mergeCell ref="F8:G8"/>
    <mergeCell ref="H8:L8"/>
    <mergeCell ref="M8:P8"/>
    <mergeCell ref="R8:S8"/>
    <mergeCell ref="B1:AR1"/>
    <mergeCell ref="Y4:AD4"/>
    <mergeCell ref="AG4:AK4"/>
    <mergeCell ref="H5:P5"/>
    <mergeCell ref="R5:S5"/>
    <mergeCell ref="F6:G6"/>
    <mergeCell ref="H6:L6"/>
    <mergeCell ref="M6:P6"/>
    <mergeCell ref="R6:S6"/>
  </mergeCells>
  <phoneticPr fontId="2"/>
  <conditionalFormatting sqref="AI15:AI26 AK15:AK26">
    <cfRule type="cellIs" dxfId="66" priority="4" stopIfTrue="1" operator="equal">
      <formula>""</formula>
    </cfRule>
  </conditionalFormatting>
  <conditionalFormatting sqref="B1:AR1">
    <cfRule type="cellIs" dxfId="65" priority="5" stopIfTrue="1" operator="equal">
      <formula>""</formula>
    </cfRule>
    <cfRule type="cellIs" dxfId="64" priority="6" stopIfTrue="1" operator="equal">
      <formula>"ここへ「大会名」等を投入して下さい"</formula>
    </cfRule>
  </conditionalFormatting>
  <conditionalFormatting sqref="M6">
    <cfRule type="cellIs" dxfId="63" priority="3" stopIfTrue="1" operator="equal">
      <formula>""</formula>
    </cfRule>
  </conditionalFormatting>
  <conditionalFormatting sqref="M7:M9">
    <cfRule type="cellIs" dxfId="62" priority="2" stopIfTrue="1" operator="equal">
      <formula>""</formula>
    </cfRule>
  </conditionalFormatting>
  <conditionalFormatting sqref="H6:H9">
    <cfRule type="cellIs" dxfId="61" priority="1" stopIfTrue="1" operator="equal">
      <formula>""</formula>
    </cfRule>
  </conditionalFormatting>
  <dataValidations count="4">
    <dataValidation imeMode="hiragana" operator="lessThanOrEqual" allowBlank="1" showInputMessage="1" showErrorMessage="1" sqref="N10:O10 M6:M10 I10:L10 H6:H10"/>
    <dataValidation type="textLength" imeMode="hiragana" operator="lessThanOrEqual" allowBlank="1" showInputMessage="1" showErrorMessage="1" sqref="Z9:AA9 AG7 X9:Y10 Y6:AA6 AI7 W9 S10 V9:V10 W7 X6:X7 T7:U10">
      <formula1>8</formula1>
    </dataValidation>
    <dataValidation imeMode="off" allowBlank="1" showInputMessage="1" showErrorMessage="1" sqref="AI15:AK26"/>
    <dataValidation imeMode="hiragana" allowBlank="1" showInputMessage="1" showErrorMessage="1" sqref="B1"/>
  </dataValidations>
  <printOptions horizontalCentered="1"/>
  <pageMargins left="0.39370078740157483" right="0.39370078740157483" top="0.59055118110236227" bottom="0.66" header="0.43307086614173229" footer="0.51181102362204722"/>
  <pageSetup paperSize="9" scale="92" orientation="portrait" horizontalDpi="300" verticalDpi="300" r:id="rId1"/>
  <headerFooter alignWithMargins="0">
    <oddFooter>&amp;R&amp;6「リーグ君」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1"/>
  <sheetViews>
    <sheetView showGridLines="0" tabSelected="1" zoomScale="70" zoomScaleNormal="70" workbookViewId="0">
      <selection activeCell="AL24" sqref="AL24"/>
    </sheetView>
  </sheetViews>
  <sheetFormatPr defaultColWidth="2.25" defaultRowHeight="15.75" customHeight="1" x14ac:dyDescent="0.15"/>
  <cols>
    <col min="1" max="41" width="3.5" style="120" customWidth="1"/>
    <col min="42" max="16384" width="2.25" style="120"/>
  </cols>
  <sheetData>
    <row r="1" spans="1:41" ht="30.75" customHeight="1" x14ac:dyDescent="0.2">
      <c r="B1" s="552" t="str">
        <f>[1]参加チーム!B1</f>
        <v>第２５回中国中学生ホッケー選手権大会</v>
      </c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2"/>
      <c r="T1" s="552"/>
      <c r="U1" s="552"/>
      <c r="V1" s="552"/>
      <c r="W1" s="552"/>
      <c r="X1" s="552"/>
      <c r="Y1" s="552"/>
      <c r="Z1" s="552"/>
      <c r="AA1" s="552"/>
      <c r="AB1" s="552"/>
      <c r="AC1" s="552"/>
      <c r="AD1" s="552"/>
      <c r="AE1" s="552"/>
      <c r="AF1" s="552"/>
      <c r="AG1" s="552"/>
      <c r="AH1" s="552"/>
      <c r="AI1" s="552"/>
      <c r="AJ1" s="552"/>
      <c r="AK1" s="552"/>
      <c r="AL1" s="552"/>
      <c r="AM1" s="552"/>
      <c r="AN1" s="552"/>
      <c r="AO1" s="552"/>
    </row>
    <row r="2" spans="1:41" s="346" customFormat="1" ht="18" customHeight="1" x14ac:dyDescent="0.2">
      <c r="AD2" s="553" t="s">
        <v>78</v>
      </c>
      <c r="AE2" s="553"/>
      <c r="AF2" s="554" t="str">
        <f>[1]参加チーム!J3</f>
        <v>三成公園ホッケー場</v>
      </c>
      <c r="AG2" s="554"/>
      <c r="AH2" s="554"/>
      <c r="AI2" s="554"/>
      <c r="AJ2" s="554"/>
      <c r="AK2" s="554"/>
      <c r="AL2" s="554"/>
      <c r="AM2" s="554"/>
      <c r="AN2" s="554"/>
      <c r="AO2" s="554"/>
    </row>
    <row r="3" spans="1:41" s="346" customFormat="1" ht="18" customHeight="1" x14ac:dyDescent="0.2">
      <c r="AD3" s="352"/>
      <c r="AE3" s="352"/>
      <c r="AF3" s="550"/>
      <c r="AG3" s="550"/>
      <c r="AH3" s="555"/>
      <c r="AI3" s="555"/>
      <c r="AJ3" s="555"/>
      <c r="AK3" s="555"/>
      <c r="AL3" s="555"/>
      <c r="AM3" s="555"/>
      <c r="AN3" s="555"/>
      <c r="AO3" s="555"/>
    </row>
    <row r="4" spans="1:41" s="346" customFormat="1" ht="18" customHeight="1" x14ac:dyDescent="0.2"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36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550" t="s">
        <v>77</v>
      </c>
      <c r="AE4" s="550"/>
      <c r="AF4" s="551">
        <f>IF([1]参加チーム!J5="","",[1]参加チーム!J5)</f>
        <v>43672</v>
      </c>
      <c r="AG4" s="551"/>
      <c r="AH4" s="551"/>
      <c r="AI4" s="551"/>
      <c r="AJ4" s="551"/>
      <c r="AK4" s="551"/>
      <c r="AL4" s="550" t="s">
        <v>107</v>
      </c>
      <c r="AM4" s="550"/>
      <c r="AN4" s="351" t="s">
        <v>76</v>
      </c>
      <c r="AO4" s="351"/>
    </row>
    <row r="5" spans="1:41" s="346" customFormat="1" ht="18" customHeight="1" x14ac:dyDescent="0.2"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 t="s">
        <v>75</v>
      </c>
      <c r="S5" s="350"/>
      <c r="T5" s="350"/>
      <c r="U5" s="350"/>
      <c r="V5" s="350"/>
      <c r="W5" s="350"/>
      <c r="X5" s="350"/>
      <c r="Y5" s="350"/>
      <c r="Z5" s="350"/>
      <c r="AA5" s="350"/>
      <c r="AB5" s="350"/>
      <c r="AC5" s="350"/>
      <c r="AD5" s="349"/>
      <c r="AF5" s="348"/>
      <c r="AG5" s="348"/>
      <c r="AH5" s="348"/>
      <c r="AI5" s="348"/>
      <c r="AJ5" s="348"/>
      <c r="AK5" s="348"/>
      <c r="AL5" s="348"/>
      <c r="AM5" s="348"/>
      <c r="AN5" s="347"/>
      <c r="AO5" s="347"/>
    </row>
    <row r="6" spans="1:41" s="346" customFormat="1" ht="18" customHeight="1" x14ac:dyDescent="0.2"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36"/>
      <c r="R6" s="349"/>
      <c r="S6" s="349"/>
      <c r="T6" s="349"/>
      <c r="U6" s="349"/>
      <c r="V6" s="349"/>
      <c r="W6" s="349"/>
      <c r="X6" s="349"/>
      <c r="Y6" s="349"/>
      <c r="Z6" s="349"/>
      <c r="AA6" s="349"/>
      <c r="AB6" s="349"/>
      <c r="AC6" s="349"/>
      <c r="AD6" s="349"/>
      <c r="AF6" s="348"/>
      <c r="AG6" s="348"/>
      <c r="AH6" s="348"/>
      <c r="AI6" s="348"/>
      <c r="AJ6" s="348"/>
      <c r="AK6" s="348"/>
      <c r="AL6" s="348"/>
      <c r="AM6" s="348"/>
      <c r="AN6" s="347"/>
      <c r="AO6" s="347"/>
    </row>
    <row r="7" spans="1:41" s="262" customFormat="1" ht="15.75" customHeight="1" x14ac:dyDescent="0.15">
      <c r="Q7" s="310"/>
      <c r="AE7" s="333"/>
    </row>
    <row r="8" spans="1:41" s="262" customFormat="1" ht="15.75" customHeight="1" x14ac:dyDescent="0.2">
      <c r="B8" s="336" t="s">
        <v>74</v>
      </c>
      <c r="AE8" s="281"/>
    </row>
    <row r="9" spans="1:41" s="262" customFormat="1" ht="15.75" customHeight="1" x14ac:dyDescent="0.15">
      <c r="L9" s="558" t="s">
        <v>72</v>
      </c>
      <c r="M9" s="559"/>
      <c r="N9" s="560" t="str">
        <f>IF([1]日程・対戦記録表!P76&gt;[1]日程・対戦記録表!S76,[1]日程・対戦記録表!K73,[1]日程・対戦記録表!U73)&amp;" 中学校"</f>
        <v>横田中 中学校</v>
      </c>
      <c r="O9" s="561"/>
      <c r="P9" s="561"/>
      <c r="Q9" s="561"/>
      <c r="R9" s="561"/>
      <c r="S9" s="562"/>
      <c r="AE9" s="281"/>
    </row>
    <row r="10" spans="1:41" s="262" customFormat="1" ht="15.75" customHeight="1" x14ac:dyDescent="0.15">
      <c r="I10" s="300"/>
      <c r="J10" s="275"/>
      <c r="K10" s="275"/>
      <c r="L10" s="558"/>
      <c r="M10" s="559"/>
      <c r="N10" s="563"/>
      <c r="O10" s="564"/>
      <c r="P10" s="564"/>
      <c r="Q10" s="564"/>
      <c r="R10" s="564"/>
      <c r="S10" s="565"/>
      <c r="T10" s="275"/>
      <c r="U10" s="275"/>
      <c r="V10" s="275"/>
      <c r="W10" s="275"/>
      <c r="X10" s="300"/>
      <c r="Y10" s="275"/>
      <c r="Z10" s="275"/>
      <c r="AA10" s="275"/>
      <c r="AB10" s="275"/>
      <c r="AC10" s="275"/>
      <c r="AD10" s="275"/>
      <c r="AE10" s="275"/>
      <c r="AG10" s="533" t="s">
        <v>71</v>
      </c>
      <c r="AH10" s="521"/>
      <c r="AI10" s="566" t="str">
        <f>IF(OR(AK16="",AL16=""),"",IF(AJ14&gt;AM14,AH18,AN18))&amp;" 中学校"</f>
        <v>八頭中 中学校</v>
      </c>
      <c r="AJ10" s="567"/>
      <c r="AK10" s="567"/>
      <c r="AL10" s="567"/>
      <c r="AM10" s="567"/>
      <c r="AN10" s="568"/>
    </row>
    <row r="11" spans="1:41" s="262" customFormat="1" ht="15.75" customHeight="1" x14ac:dyDescent="0.15">
      <c r="I11" s="310"/>
      <c r="O11" s="333"/>
      <c r="P11" s="345"/>
      <c r="Q11" s="344"/>
      <c r="R11" s="333"/>
      <c r="X11" s="310"/>
      <c r="AG11" s="533"/>
      <c r="AH11" s="521"/>
      <c r="AI11" s="569"/>
      <c r="AJ11" s="570"/>
      <c r="AK11" s="570"/>
      <c r="AL11" s="570"/>
      <c r="AM11" s="570"/>
      <c r="AN11" s="571"/>
    </row>
    <row r="12" spans="1:41" s="262" customFormat="1" ht="15.75" customHeight="1" x14ac:dyDescent="0.15">
      <c r="I12" s="302"/>
      <c r="J12" s="302"/>
      <c r="K12" s="302"/>
      <c r="L12" s="302"/>
      <c r="M12" s="302"/>
      <c r="N12" s="302"/>
      <c r="O12" s="331"/>
      <c r="P12" s="343"/>
      <c r="Q12" s="331"/>
      <c r="R12" s="331"/>
      <c r="S12" s="302"/>
      <c r="T12" s="302"/>
      <c r="U12" s="302"/>
      <c r="V12" s="302"/>
      <c r="W12" s="302"/>
      <c r="X12" s="302"/>
      <c r="AG12" s="330"/>
      <c r="AH12" s="330"/>
      <c r="AI12" s="328"/>
      <c r="AJ12" s="328"/>
      <c r="AK12" s="329"/>
      <c r="AL12" s="328"/>
      <c r="AM12" s="328"/>
      <c r="AN12" s="328"/>
    </row>
    <row r="13" spans="1:41" s="262" customFormat="1" ht="15.75" customHeight="1" x14ac:dyDescent="0.15">
      <c r="A13" s="275"/>
      <c r="B13" s="275"/>
      <c r="C13" s="275"/>
      <c r="D13" s="275"/>
      <c r="E13" s="275"/>
      <c r="F13" s="275"/>
      <c r="G13" s="274"/>
      <c r="H13" s="274"/>
      <c r="I13" s="316"/>
      <c r="J13" s="275"/>
      <c r="K13" s="275"/>
      <c r="L13" s="275"/>
      <c r="M13" s="275"/>
      <c r="N13" s="275"/>
      <c r="O13" s="326">
        <f>SUM(O14:O16)</f>
        <v>1</v>
      </c>
      <c r="P13" s="572">
        <v>35</v>
      </c>
      <c r="Q13" s="572"/>
      <c r="R13" s="326">
        <f>SUM(R14:R16)</f>
        <v>12</v>
      </c>
      <c r="S13" s="275"/>
      <c r="T13" s="275"/>
      <c r="U13" s="275"/>
      <c r="V13" s="275"/>
      <c r="W13" s="275"/>
      <c r="X13" s="313"/>
      <c r="Y13" s="312"/>
      <c r="Z13" s="274"/>
      <c r="AA13" s="275"/>
      <c r="AB13" s="275"/>
      <c r="AC13" s="275"/>
      <c r="AD13" s="275"/>
      <c r="AE13" s="275"/>
      <c r="AI13" s="302"/>
      <c r="AJ13" s="318"/>
      <c r="AK13" s="325"/>
      <c r="AL13" s="318"/>
      <c r="AM13" s="318"/>
      <c r="AN13" s="302"/>
    </row>
    <row r="14" spans="1:41" s="262" customFormat="1" ht="15.75" customHeight="1" x14ac:dyDescent="0.15">
      <c r="F14" s="275"/>
      <c r="G14" s="275"/>
      <c r="H14" s="276"/>
      <c r="I14" s="324"/>
      <c r="J14" s="275"/>
      <c r="K14" s="275"/>
      <c r="L14" s="300"/>
      <c r="M14" s="275"/>
      <c r="N14" s="275"/>
      <c r="O14" s="556">
        <f>IF([1]日程・対戦記録表!P73="","",[1]日程・対戦記録表!P73)</f>
        <v>1</v>
      </c>
      <c r="P14" s="284">
        <f>IF([1]日程・対戦記録表!Q73="","",[1]日程・対戦記録表!Q73)</f>
        <v>0</v>
      </c>
      <c r="Q14" s="284">
        <f>IF([1]日程・対戦記録表!R73="","",[1]日程・対戦記録表!R73)</f>
        <v>7</v>
      </c>
      <c r="R14" s="556">
        <f>IF([1]日程・対戦記録表!S73="","",[1]日程・対戦記録表!S73)</f>
        <v>12</v>
      </c>
      <c r="S14" s="275"/>
      <c r="T14" s="275"/>
      <c r="U14" s="275"/>
      <c r="V14" s="275"/>
      <c r="W14" s="275"/>
      <c r="X14" s="323"/>
      <c r="Y14" s="322"/>
      <c r="Z14" s="275"/>
      <c r="AA14" s="275"/>
      <c r="AB14" s="300"/>
      <c r="AC14" s="275"/>
      <c r="AD14" s="275"/>
      <c r="AE14" s="275"/>
      <c r="AH14" s="279"/>
      <c r="AI14" s="321"/>
      <c r="AJ14" s="314">
        <f>SUM(AJ15:AJ17)</f>
        <v>2</v>
      </c>
      <c r="AK14" s="557">
        <v>36</v>
      </c>
      <c r="AL14" s="557"/>
      <c r="AM14" s="314">
        <f>SUM(AM15:AM17)</f>
        <v>1</v>
      </c>
      <c r="AN14" s="313"/>
      <c r="AO14" s="277"/>
    </row>
    <row r="15" spans="1:41" s="262" customFormat="1" ht="15.75" customHeight="1" x14ac:dyDescent="0.15">
      <c r="F15" s="275"/>
      <c r="G15" s="275"/>
      <c r="H15" s="275"/>
      <c r="I15" s="289"/>
      <c r="J15" s="275"/>
      <c r="K15" s="275"/>
      <c r="L15" s="300"/>
      <c r="M15" s="275"/>
      <c r="N15" s="275"/>
      <c r="O15" s="556" t="str">
        <f>IF([1]日程・対戦記録表!P74="","",[1]日程・対戦記録表!P74)</f>
        <v/>
      </c>
      <c r="P15" s="317">
        <f>IF([1]日程・対戦記録表!Q74="","",[1]日程・対戦記録表!Q74)</f>
        <v>1</v>
      </c>
      <c r="Q15" s="317">
        <f>IF([1]日程・対戦記録表!R74="","",[1]日程・対戦記録表!R74)</f>
        <v>5</v>
      </c>
      <c r="R15" s="556" t="str">
        <f>IF([1]日程・対戦記録表!S74="","",[1]日程・対戦記録表!S74)</f>
        <v/>
      </c>
      <c r="S15" s="275"/>
      <c r="V15" s="275"/>
      <c r="W15" s="275"/>
      <c r="X15" s="275"/>
      <c r="Y15" s="289"/>
      <c r="Z15" s="275"/>
      <c r="AA15" s="275"/>
      <c r="AB15" s="300"/>
      <c r="AC15" s="275"/>
      <c r="AD15" s="275"/>
      <c r="AE15" s="275"/>
      <c r="AH15" s="279"/>
      <c r="AI15" s="310"/>
      <c r="AJ15" s="556">
        <f>IF([1]日程・対戦記録表!AG73="","",[1]日程・対戦記録表!AG73)</f>
        <v>2</v>
      </c>
      <c r="AK15" s="284">
        <f>IF([1]日程・対戦記録表!AH73="","",[1]日程・対戦記録表!AH73)</f>
        <v>1</v>
      </c>
      <c r="AL15" s="284">
        <f>IF([1]日程・対戦記録表!AI73="","",[1]日程・対戦記録表!AI73)</f>
        <v>1</v>
      </c>
      <c r="AM15" s="556">
        <f>IF([1]日程・対戦記録表!AJ73="","",[1]日程・対戦記録表!AJ73)</f>
        <v>1</v>
      </c>
      <c r="AN15" s="310"/>
      <c r="AO15" s="277"/>
    </row>
    <row r="16" spans="1:41" s="262" customFormat="1" ht="15.75" customHeight="1" x14ac:dyDescent="0.15">
      <c r="E16" s="302"/>
      <c r="F16" s="302"/>
      <c r="G16" s="318"/>
      <c r="H16" s="320"/>
      <c r="I16" s="319"/>
      <c r="J16" s="318"/>
      <c r="K16" s="302"/>
      <c r="L16" s="302"/>
      <c r="O16" s="278" t="str">
        <f>IF([1]日程・対戦記録表!P75="","",[1]日程・対戦記録表!P75)</f>
        <v/>
      </c>
      <c r="P16" s="556" t="str">
        <f>IF([1]日程・対戦記録表!Q75="","",[1]日程・対戦記録表!Q75)</f>
        <v/>
      </c>
      <c r="Q16" s="556" t="str">
        <f>IF([1]日程・対戦記録表!R75="","",[1]日程・対戦記録表!R75)</f>
        <v/>
      </c>
      <c r="R16" s="278" t="str">
        <f>IF([1]日程・対戦記録表!S75="","",[1]日程・対戦記録表!S75)</f>
        <v/>
      </c>
      <c r="U16" s="302"/>
      <c r="V16" s="302"/>
      <c r="W16" s="318"/>
      <c r="X16" s="320"/>
      <c r="Y16" s="319"/>
      <c r="Z16" s="318"/>
      <c r="AA16" s="302"/>
      <c r="AB16" s="302"/>
      <c r="AH16" s="260"/>
      <c r="AI16" s="307"/>
      <c r="AJ16" s="556" t="str">
        <f>IF([1]日程・対戦記録表!AG74="","",[1]日程・対戦記録表!AG74)</f>
        <v/>
      </c>
      <c r="AK16" s="317">
        <f>IF([1]日程・対戦記録表!AH74="","",[1]日程・対戦記録表!AH74)</f>
        <v>1</v>
      </c>
      <c r="AL16" s="317">
        <f>IF([1]日程・対戦記録表!AI74="","",[1]日程・対戦記録表!AI74)</f>
        <v>0</v>
      </c>
      <c r="AM16" s="556" t="str">
        <f>IF([1]日程・対戦記録表!AJ74="","",[1]日程・対戦記録表!AJ74)</f>
        <v/>
      </c>
      <c r="AN16" s="276"/>
      <c r="AO16" s="261"/>
    </row>
    <row r="17" spans="1:41" s="275" customFormat="1" ht="15.75" customHeight="1" x14ac:dyDescent="0.15">
      <c r="C17" s="274"/>
      <c r="D17" s="297"/>
      <c r="E17" s="313"/>
      <c r="G17" s="314">
        <f>SUM(G18:G20)</f>
        <v>2</v>
      </c>
      <c r="H17" s="572">
        <v>31</v>
      </c>
      <c r="I17" s="572"/>
      <c r="J17" s="314">
        <f>SUM(J18:J20)</f>
        <v>4</v>
      </c>
      <c r="L17" s="313"/>
      <c r="M17" s="312"/>
      <c r="N17" s="274"/>
      <c r="S17" s="274"/>
      <c r="T17" s="297"/>
      <c r="U17" s="321"/>
      <c r="W17" s="314">
        <f>SUM(W18:W20)</f>
        <v>6</v>
      </c>
      <c r="X17" s="557">
        <v>32</v>
      </c>
      <c r="Y17" s="572"/>
      <c r="Z17" s="314">
        <f>SUM(Z18:Z20)</f>
        <v>2</v>
      </c>
      <c r="AB17" s="313"/>
      <c r="AC17" s="312"/>
      <c r="AD17" s="274"/>
      <c r="AF17" s="274"/>
      <c r="AG17" s="297"/>
      <c r="AH17" s="270"/>
      <c r="AI17" s="269"/>
      <c r="AJ17" s="278" t="str">
        <f>IF([1]日程・対戦記録表!AG75="","",[1]日程・対戦記録表!AG75)</f>
        <v/>
      </c>
      <c r="AK17" s="556" t="str">
        <f>IF([1]日程・対戦記録表!AH75="","",[1]日程・対戦記録表!AH75)</f>
        <v/>
      </c>
      <c r="AL17" s="556" t="str">
        <f>IF([1]日程・対戦記録表!AI75="","",[1]日程・対戦記録表!AI75)</f>
        <v/>
      </c>
      <c r="AM17" s="278" t="str">
        <f>IF([1]日程・対戦記録表!AJ75="","",[1]日程・対戦記録表!AJ75)</f>
        <v/>
      </c>
      <c r="AN17" s="270"/>
      <c r="AO17" s="269"/>
    </row>
    <row r="18" spans="1:41" s="275" customFormat="1" ht="15.75" customHeight="1" x14ac:dyDescent="0.15">
      <c r="D18" s="290"/>
      <c r="E18" s="310"/>
      <c r="G18" s="556">
        <f>IF([1]日程・対戦記録表!P62="","",[1]日程・対戦記録表!P62)</f>
        <v>1</v>
      </c>
      <c r="H18" s="284">
        <f>IF([1]日程・対戦記録表!Q62="","",[1]日程・対戦記録表!Q62)</f>
        <v>0</v>
      </c>
      <c r="I18" s="284">
        <f>IF([1]日程・対戦記録表!R62="","",[1]日程・対戦記録表!R62)</f>
        <v>0</v>
      </c>
      <c r="J18" s="556">
        <f>IF([1]日程・対戦記録表!S62="","",[1]日程・対戦記録表!S62)</f>
        <v>1</v>
      </c>
      <c r="L18" s="310"/>
      <c r="M18" s="289"/>
      <c r="T18" s="290"/>
      <c r="U18" s="310"/>
      <c r="W18" s="556">
        <f>IF([1]日程・対戦記録表!AG62="","",[1]日程・対戦記録表!AG62)</f>
        <v>6</v>
      </c>
      <c r="X18" s="284">
        <f>IF([1]日程・対戦記録表!AH62="","",[1]日程・対戦記録表!AH62)</f>
        <v>4</v>
      </c>
      <c r="Y18" s="284">
        <f>IF([1]日程・対戦記録表!AI62="","",[1]日程・対戦記録表!AI62)</f>
        <v>1</v>
      </c>
      <c r="Z18" s="556">
        <f>IF([1]日程・対戦記録表!AJ62="","",[1]日程・対戦記録表!AJ62)</f>
        <v>2</v>
      </c>
      <c r="AB18" s="310"/>
      <c r="AC18" s="289"/>
      <c r="AH18" s="573" t="str">
        <f>[1]日程・対戦記録表!AB73</f>
        <v>八頭中</v>
      </c>
      <c r="AI18" s="574"/>
      <c r="AN18" s="573" t="str">
        <f>[1]日程・対戦記録表!AL73</f>
        <v>玖珂中</v>
      </c>
      <c r="AO18" s="574"/>
    </row>
    <row r="19" spans="1:41" s="262" customFormat="1" ht="15.75" customHeight="1" x14ac:dyDescent="0.15">
      <c r="B19" s="309"/>
      <c r="C19" s="306"/>
      <c r="D19" s="308"/>
      <c r="E19" s="307"/>
      <c r="F19" s="306"/>
      <c r="G19" s="556" t="str">
        <f>IF([1]日程・対戦記録表!P63="","",[1]日程・対戦記録表!P63)</f>
        <v/>
      </c>
      <c r="H19" s="317">
        <f>IF([1]日程・対戦記録表!Q63="","",[1]日程・対戦記録表!Q63)</f>
        <v>1</v>
      </c>
      <c r="I19" s="317">
        <f>IF([1]日程・対戦記録表!R63="","",[1]日程・対戦記録表!R63)</f>
        <v>1</v>
      </c>
      <c r="J19" s="556" t="str">
        <f>IF([1]日程・対戦記録表!S63="","",[1]日程・対戦記録表!S63)</f>
        <v/>
      </c>
      <c r="K19" s="300"/>
      <c r="L19" s="276"/>
      <c r="M19" s="305"/>
      <c r="N19" s="300"/>
      <c r="O19" s="275"/>
      <c r="P19" s="275"/>
      <c r="Q19" s="275"/>
      <c r="R19" s="275"/>
      <c r="S19" s="300"/>
      <c r="T19" s="342"/>
      <c r="U19" s="307"/>
      <c r="V19" s="306"/>
      <c r="W19" s="556" t="str">
        <f>IF([1]日程・対戦記録表!AG63="","",[1]日程・対戦記録表!AG63)</f>
        <v/>
      </c>
      <c r="X19" s="317">
        <f>IF([1]日程・対戦記録表!AH63="","",[1]日程・対戦記録表!AH63)</f>
        <v>2</v>
      </c>
      <c r="Y19" s="317">
        <f>IF([1]日程・対戦記録表!AI63="","",[1]日程・対戦記録表!AI63)</f>
        <v>1</v>
      </c>
      <c r="Z19" s="556" t="str">
        <f>IF([1]日程・対戦記録表!AJ63="","",[1]日程・対戦記録表!AJ63)</f>
        <v/>
      </c>
      <c r="AA19" s="300"/>
      <c r="AB19" s="276"/>
      <c r="AC19" s="305"/>
      <c r="AD19" s="300"/>
      <c r="AE19" s="275"/>
      <c r="AH19" s="575"/>
      <c r="AI19" s="574"/>
      <c r="AN19" s="575"/>
      <c r="AO19" s="574"/>
    </row>
    <row r="20" spans="1:41" s="262" customFormat="1" ht="15.75" customHeight="1" x14ac:dyDescent="0.15">
      <c r="C20" s="300"/>
      <c r="D20" s="304"/>
      <c r="E20" s="300"/>
      <c r="F20" s="300"/>
      <c r="G20" s="278">
        <f>IF([1]日程・対戦記録表!P64="","",[1]日程・対戦記録表!P64)</f>
        <v>1</v>
      </c>
      <c r="H20" s="556" t="str">
        <f>IF([1]日程・対戦記録表!Q64="","",[1]日程・対戦記録表!Q64)</f>
        <v>SO</v>
      </c>
      <c r="I20" s="556" t="str">
        <f>IF([1]日程・対戦記録表!R64="","",[1]日程・対戦記録表!R64)</f>
        <v/>
      </c>
      <c r="J20" s="278">
        <f>IF([1]日程・対戦記録表!S64="","",[1]日程・対戦記録表!S64)</f>
        <v>3</v>
      </c>
      <c r="K20" s="302"/>
      <c r="L20" s="302"/>
      <c r="M20" s="303"/>
      <c r="N20" s="302"/>
      <c r="O20" s="275"/>
      <c r="P20" s="275"/>
      <c r="Q20" s="275"/>
      <c r="S20" s="302"/>
      <c r="T20" s="341"/>
      <c r="U20" s="302"/>
      <c r="V20" s="302"/>
      <c r="W20" s="278" t="str">
        <f>IF([1]日程・対戦記録表!AG64="","",[1]日程・対戦記録表!AG64)</f>
        <v/>
      </c>
      <c r="X20" s="556" t="str">
        <f>IF([1]日程・対戦記録表!AH64="","",[1]日程・対戦記録表!AH64)</f>
        <v/>
      </c>
      <c r="Y20" s="556" t="str">
        <f>IF([1]日程・対戦記録表!AI64="","",[1]日程・対戦記録表!AI64)</f>
        <v/>
      </c>
      <c r="Z20" s="278" t="str">
        <f>IF([1]日程・対戦記録表!AJ64="","",[1]日程・対戦記録表!AJ64)</f>
        <v/>
      </c>
      <c r="AA20" s="300"/>
      <c r="AB20" s="300"/>
      <c r="AC20" s="301"/>
      <c r="AD20" s="300"/>
      <c r="AE20" s="275"/>
      <c r="AH20" s="575"/>
      <c r="AI20" s="574"/>
      <c r="AN20" s="575"/>
      <c r="AO20" s="574"/>
    </row>
    <row r="21" spans="1:41" s="262" customFormat="1" ht="15.75" customHeight="1" x14ac:dyDescent="0.15">
      <c r="A21" s="275"/>
      <c r="B21" s="295"/>
      <c r="C21" s="275"/>
      <c r="D21" s="298"/>
      <c r="E21" s="294"/>
      <c r="F21" s="275"/>
      <c r="G21" s="292"/>
      <c r="H21" s="275"/>
      <c r="I21" s="274"/>
      <c r="J21" s="290"/>
      <c r="K21" s="227">
        <f>SUM(K22:K24)</f>
        <v>10</v>
      </c>
      <c r="L21" s="572">
        <v>27</v>
      </c>
      <c r="M21" s="572"/>
      <c r="N21" s="227">
        <f>SUM(N22:N24)</f>
        <v>0</v>
      </c>
      <c r="O21" s="296"/>
      <c r="P21" s="275"/>
      <c r="Q21" s="274"/>
      <c r="R21" s="290"/>
      <c r="S21" s="227">
        <f>SUM(S22:S24)</f>
        <v>3</v>
      </c>
      <c r="T21" s="572">
        <v>28</v>
      </c>
      <c r="U21" s="572"/>
      <c r="V21" s="227">
        <f>SUM(V22:V24)</f>
        <v>9</v>
      </c>
      <c r="W21" s="296"/>
      <c r="X21" s="275"/>
      <c r="Y21" s="275"/>
      <c r="Z21" s="295"/>
      <c r="AA21" s="275"/>
      <c r="AB21" s="294"/>
      <c r="AC21" s="293"/>
      <c r="AD21" s="275"/>
      <c r="AE21" s="292"/>
      <c r="AH21" s="575"/>
      <c r="AI21" s="574"/>
      <c r="AN21" s="575"/>
      <c r="AO21" s="574"/>
    </row>
    <row r="22" spans="1:41" s="275" customFormat="1" ht="15.75" customHeight="1" x14ac:dyDescent="0.15">
      <c r="C22" s="286"/>
      <c r="D22" s="291"/>
      <c r="E22" s="288"/>
      <c r="F22" s="286"/>
      <c r="J22" s="290"/>
      <c r="K22" s="576">
        <f>IF([1]日程・対戦記録表!P52="","",[1]日程・対戦記録表!P52)</f>
        <v>10</v>
      </c>
      <c r="L22" s="284">
        <f>IF([1]日程・対戦記録表!Q52="","",[1]日程・対戦記録表!Q52)</f>
        <v>5</v>
      </c>
      <c r="M22" s="284">
        <f>IF([1]日程・対戦記録表!R52="","",[1]日程・対戦記録表!R52)</f>
        <v>0</v>
      </c>
      <c r="N22" s="577">
        <f>IF([1]日程・対戦記録表!S52="","",[1]日程・対戦記録表!S52)</f>
        <v>0</v>
      </c>
      <c r="O22" s="289"/>
      <c r="R22" s="290"/>
      <c r="S22" s="576">
        <f>IF([1]日程・対戦記録表!AG52="","",[1]日程・対戦記録表!AG52)</f>
        <v>3</v>
      </c>
      <c r="T22" s="284">
        <f>IF([1]日程・対戦記録表!AH52="","",[1]日程・対戦記録表!AH52)</f>
        <v>1</v>
      </c>
      <c r="U22" s="284">
        <f>IF([1]日程・対戦記録表!AI52="","",[1]日程・対戦記録表!AI52)</f>
        <v>6</v>
      </c>
      <c r="V22" s="577">
        <f>IF([1]日程・対戦記録表!AJ52="","",[1]日程・対戦記録表!AJ52)</f>
        <v>9</v>
      </c>
      <c r="W22" s="289"/>
      <c r="AA22" s="286"/>
      <c r="AB22" s="288"/>
      <c r="AC22" s="287"/>
      <c r="AD22" s="286"/>
      <c r="AH22" s="261"/>
      <c r="AI22" s="260"/>
      <c r="AN22" s="261"/>
      <c r="AO22" s="260"/>
    </row>
    <row r="23" spans="1:41" s="262" customFormat="1" ht="15.75" customHeight="1" x14ac:dyDescent="0.15">
      <c r="D23" s="285"/>
      <c r="E23" s="283"/>
      <c r="F23" s="281"/>
      <c r="J23" s="279"/>
      <c r="K23" s="576" t="str">
        <f>IF([1]日程・対戦記録表!P53="","",[1]日程・対戦記録表!P53)</f>
        <v/>
      </c>
      <c r="L23" s="317">
        <f>IF([1]日程・対戦記録表!Q53="","",[1]日程・対戦記録表!Q53)</f>
        <v>5</v>
      </c>
      <c r="M23" s="317">
        <f>IF([1]日程・対戦記録表!R53="","",[1]日程・対戦記録表!R53)</f>
        <v>0</v>
      </c>
      <c r="N23" s="577" t="str">
        <f>IF([1]日程・対戦記録表!S53="","",[1]日程・対戦記録表!S53)</f>
        <v/>
      </c>
      <c r="O23" s="277"/>
      <c r="R23" s="279"/>
      <c r="S23" s="576" t="str">
        <f>IF([1]日程・対戦記録表!AG53="","",[1]日程・対戦記録表!AG53)</f>
        <v/>
      </c>
      <c r="T23" s="317">
        <f>IF([1]日程・対戦記録表!AH53="","",[1]日程・対戦記録表!AH53)</f>
        <v>2</v>
      </c>
      <c r="U23" s="317">
        <f>IF([1]日程・対戦記録表!AI53="","",[1]日程・対戦記録表!AI53)</f>
        <v>3</v>
      </c>
      <c r="V23" s="577" t="str">
        <f>IF([1]日程・対戦記録表!AJ53="","",[1]日程・対戦記録表!AJ53)</f>
        <v/>
      </c>
      <c r="W23" s="277"/>
      <c r="AB23" s="283"/>
      <c r="AC23" s="282"/>
      <c r="AD23" s="281"/>
    </row>
    <row r="24" spans="1:41" s="262" customFormat="1" ht="15.75" customHeight="1" x14ac:dyDescent="0.15">
      <c r="D24" s="279"/>
      <c r="J24" s="279"/>
      <c r="K24" s="278" t="str">
        <f>IF([1]日程・対戦記録表!P54="","",[1]日程・対戦記録表!P54)</f>
        <v/>
      </c>
      <c r="L24" s="556" t="str">
        <f>IF([1]日程・対戦記録表!Q54="","",[1]日程・対戦記録表!Q54)</f>
        <v/>
      </c>
      <c r="M24" s="556" t="str">
        <f>IF([1]日程・対戦記録表!R54="","",[1]日程・対戦記録表!R54)</f>
        <v/>
      </c>
      <c r="N24" s="278" t="str">
        <f>IF([1]日程・対戦記録表!S54="","",[1]日程・対戦記録表!S54)</f>
        <v/>
      </c>
      <c r="O24" s="277"/>
      <c r="R24" s="279"/>
      <c r="S24" s="278" t="str">
        <f>IF([1]日程・対戦記録表!AG54="","",[1]日程・対戦記録表!AG54)</f>
        <v/>
      </c>
      <c r="T24" s="556" t="str">
        <f>IF([1]日程・対戦記録表!AH54="","",[1]日程・対戦記録表!AH54)</f>
        <v/>
      </c>
      <c r="U24" s="556" t="str">
        <f>IF([1]日程・対戦記録表!AI54="","",[1]日程・対戦記録表!AI54)</f>
        <v/>
      </c>
      <c r="V24" s="278" t="str">
        <f>IF([1]日程・対戦記録表!AJ54="","",[1]日程・対戦記録表!AJ54)</f>
        <v/>
      </c>
      <c r="W24" s="277"/>
      <c r="AC24" s="277"/>
    </row>
    <row r="25" spans="1:41" s="122" customFormat="1" ht="15.75" customHeight="1" x14ac:dyDescent="0.15">
      <c r="D25" s="340" t="s">
        <v>108</v>
      </c>
      <c r="E25" s="339">
        <v>1</v>
      </c>
      <c r="F25" s="274"/>
      <c r="G25" s="274"/>
      <c r="H25" s="275"/>
      <c r="I25" s="275"/>
      <c r="J25" s="340" t="s">
        <v>109</v>
      </c>
      <c r="K25" s="339">
        <v>2</v>
      </c>
      <c r="L25" s="275"/>
      <c r="M25" s="275"/>
      <c r="N25" s="340" t="s">
        <v>108</v>
      </c>
      <c r="O25" s="339">
        <v>3</v>
      </c>
      <c r="P25" s="275"/>
      <c r="Q25" s="275"/>
      <c r="R25" s="340" t="s">
        <v>109</v>
      </c>
      <c r="S25" s="339">
        <v>3</v>
      </c>
      <c r="T25" s="275"/>
      <c r="U25" s="275"/>
      <c r="V25" s="340" t="s">
        <v>108</v>
      </c>
      <c r="W25" s="339">
        <v>2</v>
      </c>
      <c r="X25" s="275"/>
      <c r="Y25" s="275"/>
      <c r="Z25" s="274"/>
      <c r="AA25" s="274"/>
      <c r="AB25" s="340" t="s">
        <v>110</v>
      </c>
      <c r="AC25" s="339">
        <v>1</v>
      </c>
      <c r="AD25" s="271"/>
      <c r="AE25" s="271"/>
    </row>
    <row r="26" spans="1:41" ht="15.75" customHeight="1" x14ac:dyDescent="0.15">
      <c r="B26" s="265"/>
      <c r="C26" s="265"/>
      <c r="D26" s="270"/>
      <c r="E26" s="269"/>
      <c r="F26" s="265"/>
      <c r="G26" s="265"/>
      <c r="H26" s="266"/>
      <c r="I26" s="266"/>
      <c r="J26" s="270"/>
      <c r="K26" s="269"/>
      <c r="L26" s="338"/>
      <c r="M26" s="337"/>
      <c r="N26" s="270"/>
      <c r="O26" s="269"/>
      <c r="P26" s="268"/>
      <c r="Q26" s="268"/>
      <c r="R26" s="270"/>
      <c r="S26" s="269"/>
      <c r="T26" s="338"/>
      <c r="U26" s="337"/>
      <c r="V26" s="270"/>
      <c r="W26" s="269"/>
      <c r="X26" s="266"/>
      <c r="Y26" s="266"/>
      <c r="Z26" s="265"/>
      <c r="AA26" s="265"/>
      <c r="AB26" s="270"/>
      <c r="AC26" s="269"/>
      <c r="AD26" s="265"/>
      <c r="AE26" s="265"/>
    </row>
    <row r="27" spans="1:41" ht="15.75" customHeight="1" x14ac:dyDescent="0.15">
      <c r="B27" s="265"/>
      <c r="C27" s="265"/>
      <c r="D27" s="575" t="str">
        <f>IF([1]男子A!$AP$38="","",LEFT(VLOOKUP(E25,[1]男子A!AW29:AY32,2,FALSE),3))</f>
        <v>八頭中</v>
      </c>
      <c r="E27" s="574"/>
      <c r="F27" s="265"/>
      <c r="G27" s="265"/>
      <c r="H27" s="266"/>
      <c r="I27" s="266"/>
      <c r="J27" s="575" t="str">
        <f>IF([1]男子B!$AP$40="","",LEFT(VLOOKUP(K25,[1]男子B!AW31:AY34,2,FALSE),3))</f>
        <v>仁多中</v>
      </c>
      <c r="K27" s="574"/>
      <c r="L27" s="578"/>
      <c r="M27" s="578"/>
      <c r="N27" s="575" t="str">
        <f>IF([1]男子A!$AP$38="","",LEFT(VLOOKUP(O25,[1]男子A!AW29:AY32,2,FALSE),3))</f>
        <v>磐梨中</v>
      </c>
      <c r="O27" s="574"/>
      <c r="P27" s="268"/>
      <c r="Q27" s="268"/>
      <c r="R27" s="575" t="str">
        <f>IF([1]男子B!$AP$40="","",LEFT(VLOOKUP(S25,[1]男子B!AW31:AY34,2,FALSE),3))</f>
        <v>瀬戸中</v>
      </c>
      <c r="S27" s="574"/>
      <c r="T27" s="578"/>
      <c r="U27" s="578"/>
      <c r="V27" s="575" t="str">
        <f>IF([1]男子A!$AP$38="","",LEFT(VLOOKUP(W25,[1]男子A!AW29:AY32,2,FALSE),3))</f>
        <v>横田中</v>
      </c>
      <c r="W27" s="574"/>
      <c r="X27" s="266"/>
      <c r="Y27" s="266"/>
      <c r="Z27" s="265"/>
      <c r="AA27" s="265"/>
      <c r="AB27" s="575" t="str">
        <f>IF([1]男子B!$AP$40="","",LEFT(VLOOKUP(AC25,[1]男子B!AW31:AY34,2,FALSE),3))</f>
        <v>玖珂中</v>
      </c>
      <c r="AC27" s="574"/>
      <c r="AD27" s="265"/>
      <c r="AE27" s="265"/>
    </row>
    <row r="28" spans="1:41" ht="15.75" customHeight="1" x14ac:dyDescent="0.15">
      <c r="B28" s="265"/>
      <c r="C28" s="265"/>
      <c r="D28" s="575"/>
      <c r="E28" s="574"/>
      <c r="F28" s="265"/>
      <c r="G28" s="265"/>
      <c r="H28" s="262"/>
      <c r="I28" s="262"/>
      <c r="J28" s="575"/>
      <c r="K28" s="574"/>
      <c r="L28" s="262"/>
      <c r="M28" s="262"/>
      <c r="N28" s="575"/>
      <c r="O28" s="574"/>
      <c r="P28" s="262"/>
      <c r="Q28" s="262"/>
      <c r="R28" s="575"/>
      <c r="S28" s="574"/>
      <c r="T28" s="262"/>
      <c r="U28" s="262"/>
      <c r="V28" s="575"/>
      <c r="W28" s="574"/>
      <c r="X28" s="262"/>
      <c r="Y28" s="262"/>
      <c r="Z28" s="265"/>
      <c r="AA28" s="265"/>
      <c r="AB28" s="575"/>
      <c r="AC28" s="574"/>
      <c r="AD28" s="265"/>
      <c r="AE28" s="265"/>
    </row>
    <row r="29" spans="1:41" ht="15.75" customHeight="1" x14ac:dyDescent="0.15">
      <c r="B29" s="265"/>
      <c r="C29" s="265"/>
      <c r="D29" s="575"/>
      <c r="E29" s="574"/>
      <c r="F29" s="265"/>
      <c r="G29" s="265"/>
      <c r="J29" s="575"/>
      <c r="K29" s="574"/>
      <c r="N29" s="575"/>
      <c r="O29" s="574"/>
      <c r="R29" s="575"/>
      <c r="S29" s="574"/>
      <c r="V29" s="575"/>
      <c r="W29" s="574"/>
      <c r="Z29" s="265"/>
      <c r="AA29" s="265"/>
      <c r="AB29" s="575"/>
      <c r="AC29" s="574"/>
      <c r="AD29" s="265"/>
      <c r="AE29" s="265"/>
    </row>
    <row r="30" spans="1:41" ht="15.75" customHeight="1" x14ac:dyDescent="0.15">
      <c r="B30" s="263"/>
      <c r="C30" s="263"/>
      <c r="D30" s="575"/>
      <c r="E30" s="574"/>
      <c r="J30" s="575"/>
      <c r="K30" s="574"/>
      <c r="N30" s="575"/>
      <c r="O30" s="574"/>
      <c r="P30" s="263"/>
      <c r="R30" s="575"/>
      <c r="S30" s="574"/>
      <c r="T30" s="263"/>
      <c r="V30" s="575"/>
      <c r="W30" s="574"/>
      <c r="AB30" s="575"/>
      <c r="AC30" s="574"/>
      <c r="AD30" s="263"/>
      <c r="AE30" s="263"/>
    </row>
    <row r="31" spans="1:41" ht="15.75" customHeight="1" x14ac:dyDescent="0.15">
      <c r="D31" s="261"/>
      <c r="E31" s="260"/>
      <c r="J31" s="261"/>
      <c r="K31" s="260"/>
      <c r="N31" s="261"/>
      <c r="O31" s="260"/>
      <c r="R31" s="261"/>
      <c r="S31" s="260"/>
      <c r="V31" s="261"/>
      <c r="W31" s="260"/>
      <c r="AB31" s="261"/>
      <c r="AC31" s="260"/>
    </row>
    <row r="32" spans="1:41" ht="15.75" customHeight="1" x14ac:dyDescent="0.15">
      <c r="D32" s="262"/>
      <c r="E32" s="262"/>
      <c r="J32" s="262"/>
      <c r="K32" s="262"/>
      <c r="N32" s="262"/>
      <c r="O32" s="262"/>
      <c r="R32" s="262"/>
      <c r="S32" s="262"/>
      <c r="V32" s="262"/>
      <c r="W32" s="262"/>
      <c r="AB32" s="262"/>
      <c r="AC32" s="262"/>
    </row>
    <row r="33" spans="1:42" ht="15.75" customHeight="1" x14ac:dyDescent="0.15">
      <c r="D33" s="262"/>
      <c r="E33" s="262"/>
      <c r="J33" s="262"/>
      <c r="K33" s="262"/>
      <c r="N33" s="262"/>
      <c r="O33" s="262"/>
      <c r="R33" s="262"/>
      <c r="S33" s="262"/>
      <c r="V33" s="262"/>
      <c r="W33" s="262"/>
      <c r="AB33" s="262"/>
      <c r="AC33" s="262"/>
    </row>
    <row r="34" spans="1:42" ht="15.75" customHeight="1" x14ac:dyDescent="0.15">
      <c r="D34" s="262"/>
      <c r="E34" s="262"/>
      <c r="J34" s="262"/>
      <c r="K34" s="262"/>
      <c r="N34" s="262"/>
      <c r="O34" s="262"/>
      <c r="R34" s="262"/>
      <c r="S34" s="262"/>
      <c r="V34" s="262"/>
      <c r="W34" s="262"/>
      <c r="AB34" s="262"/>
      <c r="AC34" s="262"/>
    </row>
    <row r="35" spans="1:42" ht="15.75" customHeight="1" x14ac:dyDescent="0.15">
      <c r="D35" s="262"/>
      <c r="E35" s="262"/>
      <c r="J35" s="262"/>
      <c r="K35" s="262"/>
      <c r="N35" s="262"/>
      <c r="O35" s="262"/>
      <c r="R35" s="262"/>
      <c r="S35" s="262"/>
      <c r="V35" s="262"/>
      <c r="W35" s="262"/>
      <c r="AB35" s="262"/>
      <c r="AC35" s="262"/>
    </row>
    <row r="38" spans="1:42" ht="15.75" customHeight="1" x14ac:dyDescent="0.2">
      <c r="A38" s="262"/>
      <c r="B38" s="336" t="s">
        <v>73</v>
      </c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</row>
    <row r="39" spans="1:42" ht="15.75" customHeight="1" x14ac:dyDescent="0.15">
      <c r="A39" s="262"/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558" t="s">
        <v>72</v>
      </c>
      <c r="M39" s="559"/>
      <c r="N39" s="579" t="str">
        <f>IF([1]日程・対戦記録表!P71&gt;[1]日程・対戦記録表!S71,[1]日程・対戦記録表!K68,[1]日程・対戦記録表!U68)&amp;" 中学校"</f>
        <v>横田中 中学校</v>
      </c>
      <c r="O39" s="580"/>
      <c r="P39" s="580"/>
      <c r="Q39" s="580"/>
      <c r="R39" s="580"/>
      <c r="S39" s="581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81"/>
    </row>
    <row r="40" spans="1:42" ht="15.75" customHeight="1" x14ac:dyDescent="0.15">
      <c r="A40" s="262"/>
      <c r="B40" s="262"/>
      <c r="C40" s="262"/>
      <c r="D40" s="262"/>
      <c r="E40" s="262"/>
      <c r="F40" s="262"/>
      <c r="G40" s="262"/>
      <c r="H40" s="262"/>
      <c r="I40" s="300"/>
      <c r="J40" s="275"/>
      <c r="K40" s="275"/>
      <c r="L40" s="558"/>
      <c r="M40" s="559"/>
      <c r="N40" s="582"/>
      <c r="O40" s="583"/>
      <c r="P40" s="583"/>
      <c r="Q40" s="583"/>
      <c r="R40" s="583"/>
      <c r="S40" s="584"/>
      <c r="T40" s="275"/>
      <c r="U40" s="275"/>
      <c r="V40" s="275"/>
      <c r="W40" s="275"/>
      <c r="X40" s="300"/>
      <c r="Y40" s="275"/>
      <c r="Z40" s="275"/>
      <c r="AA40" s="275"/>
      <c r="AB40" s="275"/>
      <c r="AC40" s="275"/>
      <c r="AD40" s="275"/>
      <c r="AE40" s="275"/>
      <c r="AG40" s="533" t="s">
        <v>71</v>
      </c>
      <c r="AH40" s="533"/>
      <c r="AI40" s="566" t="str">
        <f>IF(OR(AK46="",AL46=""),"",IF(AJ44&gt;AM44,AH48,AN48))&amp;" 中学校"</f>
        <v>八頭中 中学校</v>
      </c>
      <c r="AJ40" s="567"/>
      <c r="AK40" s="567"/>
      <c r="AL40" s="567"/>
      <c r="AM40" s="567"/>
      <c r="AN40" s="568"/>
    </row>
    <row r="41" spans="1:42" ht="15.75" customHeight="1" x14ac:dyDescent="0.15">
      <c r="A41" s="262"/>
      <c r="B41" s="262"/>
      <c r="C41" s="262"/>
      <c r="D41" s="262"/>
      <c r="E41" s="262"/>
      <c r="F41" s="262"/>
      <c r="G41" s="262"/>
      <c r="H41" s="262"/>
      <c r="I41" s="310"/>
      <c r="J41" s="262"/>
      <c r="K41" s="262"/>
      <c r="L41" s="262"/>
      <c r="M41" s="262"/>
      <c r="N41" s="262"/>
      <c r="O41" s="333"/>
      <c r="P41" s="335"/>
      <c r="Q41" s="334"/>
      <c r="R41" s="333"/>
      <c r="S41" s="262"/>
      <c r="T41" s="262"/>
      <c r="U41" s="262"/>
      <c r="V41" s="262"/>
      <c r="W41" s="262"/>
      <c r="X41" s="310"/>
      <c r="Y41" s="262"/>
      <c r="Z41" s="262"/>
      <c r="AA41" s="262"/>
      <c r="AB41" s="262"/>
      <c r="AC41" s="262"/>
      <c r="AD41" s="262"/>
      <c r="AE41" s="262"/>
      <c r="AG41" s="533"/>
      <c r="AH41" s="533"/>
      <c r="AI41" s="569"/>
      <c r="AJ41" s="570"/>
      <c r="AK41" s="570"/>
      <c r="AL41" s="570"/>
      <c r="AM41" s="570"/>
      <c r="AN41" s="571"/>
      <c r="AO41" s="262"/>
    </row>
    <row r="42" spans="1:42" ht="15.75" customHeight="1" x14ac:dyDescent="0.15">
      <c r="A42" s="262"/>
      <c r="B42" s="262"/>
      <c r="C42" s="262"/>
      <c r="D42" s="262"/>
      <c r="E42" s="262"/>
      <c r="F42" s="262"/>
      <c r="G42" s="262"/>
      <c r="H42" s="262"/>
      <c r="I42" s="302"/>
      <c r="J42" s="302"/>
      <c r="K42" s="302"/>
      <c r="L42" s="302"/>
      <c r="M42" s="302"/>
      <c r="N42" s="302"/>
      <c r="O42" s="331"/>
      <c r="P42" s="331"/>
      <c r="Q42" s="332"/>
      <c r="R42" s="331"/>
      <c r="S42" s="302"/>
      <c r="T42" s="302"/>
      <c r="U42" s="302"/>
      <c r="V42" s="302"/>
      <c r="W42" s="302"/>
      <c r="X42" s="302"/>
      <c r="Y42" s="262"/>
      <c r="Z42" s="262"/>
      <c r="AA42" s="262"/>
      <c r="AB42" s="262"/>
      <c r="AC42" s="262"/>
      <c r="AD42" s="262"/>
      <c r="AE42" s="262"/>
      <c r="AG42" s="330"/>
      <c r="AH42" s="330"/>
      <c r="AI42" s="328"/>
      <c r="AJ42" s="328"/>
      <c r="AK42" s="329"/>
      <c r="AL42" s="328"/>
      <c r="AM42" s="328"/>
      <c r="AN42" s="328"/>
      <c r="AO42" s="262"/>
    </row>
    <row r="43" spans="1:42" ht="15.75" customHeight="1" x14ac:dyDescent="0.15">
      <c r="A43" s="327"/>
      <c r="B43" s="275"/>
      <c r="C43" s="275"/>
      <c r="D43" s="275"/>
      <c r="E43" s="275"/>
      <c r="F43" s="275"/>
      <c r="G43" s="274"/>
      <c r="H43" s="274"/>
      <c r="I43" s="316"/>
      <c r="J43" s="275"/>
      <c r="K43" s="275"/>
      <c r="L43" s="275"/>
      <c r="M43" s="275"/>
      <c r="N43" s="275"/>
      <c r="O43" s="326">
        <f>SUM(O44:O46)</f>
        <v>1</v>
      </c>
      <c r="P43" s="557">
        <v>33</v>
      </c>
      <c r="Q43" s="557"/>
      <c r="R43" s="326">
        <f>SUM(R44:R46)</f>
        <v>4</v>
      </c>
      <c r="S43" s="275"/>
      <c r="T43" s="275"/>
      <c r="U43" s="275"/>
      <c r="V43" s="275"/>
      <c r="W43" s="275"/>
      <c r="X43" s="313"/>
      <c r="Y43" s="312"/>
      <c r="Z43" s="274"/>
      <c r="AA43" s="275"/>
      <c r="AB43" s="275"/>
      <c r="AC43" s="275"/>
      <c r="AD43" s="275"/>
      <c r="AE43" s="275"/>
      <c r="AH43" s="262"/>
      <c r="AI43" s="302"/>
      <c r="AJ43" s="318"/>
      <c r="AK43" s="325"/>
      <c r="AL43" s="318"/>
      <c r="AM43" s="318"/>
      <c r="AN43" s="302"/>
      <c r="AO43" s="262"/>
    </row>
    <row r="44" spans="1:42" ht="15.75" customHeight="1" x14ac:dyDescent="0.15">
      <c r="A44" s="262"/>
      <c r="B44" s="262"/>
      <c r="C44" s="262"/>
      <c r="D44" s="262"/>
      <c r="E44" s="262"/>
      <c r="F44" s="275"/>
      <c r="G44" s="275"/>
      <c r="H44" s="276"/>
      <c r="I44" s="324"/>
      <c r="J44" s="275"/>
      <c r="K44" s="275"/>
      <c r="L44" s="300"/>
      <c r="M44" s="275"/>
      <c r="N44" s="275"/>
      <c r="O44" s="556">
        <f>IF([1]日程・対戦記録表!P68="","",[1]日程・対戦記録表!P68)</f>
        <v>1</v>
      </c>
      <c r="P44" s="284">
        <f>IF([1]日程・対戦記録表!Q68="","",[1]日程・対戦記録表!Q68)</f>
        <v>0</v>
      </c>
      <c r="Q44" s="284">
        <f>IF([1]日程・対戦記録表!R68="","",[1]日程・対戦記録表!R68)</f>
        <v>3</v>
      </c>
      <c r="R44" s="556">
        <f>IF([1]日程・対戦記録表!S68="","",[1]日程・対戦記録表!S68)</f>
        <v>4</v>
      </c>
      <c r="S44" s="275"/>
      <c r="T44" s="275"/>
      <c r="U44" s="275"/>
      <c r="V44" s="275"/>
      <c r="W44" s="275"/>
      <c r="X44" s="323"/>
      <c r="Y44" s="322"/>
      <c r="Z44" s="275"/>
      <c r="AA44" s="275"/>
      <c r="AB44" s="300"/>
      <c r="AC44" s="275"/>
      <c r="AD44" s="275"/>
      <c r="AE44" s="275"/>
      <c r="AG44" s="274"/>
      <c r="AH44" s="279"/>
      <c r="AI44" s="321"/>
      <c r="AJ44" s="314">
        <f>SUM(AJ45:AJ47)</f>
        <v>1</v>
      </c>
      <c r="AK44" s="557">
        <v>34</v>
      </c>
      <c r="AL44" s="557"/>
      <c r="AM44" s="314">
        <f>SUM(AM45:AM47)</f>
        <v>2</v>
      </c>
      <c r="AN44" s="313"/>
      <c r="AO44" s="277"/>
    </row>
    <row r="45" spans="1:42" ht="15.75" customHeight="1" x14ac:dyDescent="0.15">
      <c r="A45" s="275"/>
      <c r="B45" s="262"/>
      <c r="C45" s="262"/>
      <c r="D45" s="262"/>
      <c r="E45" s="262"/>
      <c r="F45" s="275"/>
      <c r="G45" s="275"/>
      <c r="H45" s="275"/>
      <c r="I45" s="289"/>
      <c r="J45" s="275"/>
      <c r="K45" s="275"/>
      <c r="L45" s="300"/>
      <c r="M45" s="275"/>
      <c r="N45" s="275"/>
      <c r="O45" s="556" t="str">
        <f>IF([1]日程・対戦記録表!P69="","",[1]日程・対戦記録表!P69)</f>
        <v/>
      </c>
      <c r="P45" s="284">
        <f>IF([1]日程・対戦記録表!Q69="","",[1]日程・対戦記録表!Q69)</f>
        <v>1</v>
      </c>
      <c r="Q45" s="284">
        <f>IF([1]日程・対戦記録表!R69="","",[1]日程・対戦記録表!R69)</f>
        <v>1</v>
      </c>
      <c r="R45" s="556" t="str">
        <f>IF([1]日程・対戦記録表!S69="","",[1]日程・対戦記録表!S69)</f>
        <v/>
      </c>
      <c r="S45" s="275"/>
      <c r="T45" s="262"/>
      <c r="U45" s="262"/>
      <c r="V45" s="275"/>
      <c r="W45" s="275"/>
      <c r="X45" s="275"/>
      <c r="Y45" s="289"/>
      <c r="Z45" s="275"/>
      <c r="AA45" s="275"/>
      <c r="AB45" s="300"/>
      <c r="AC45" s="275"/>
      <c r="AD45" s="275"/>
      <c r="AE45" s="275"/>
      <c r="AH45" s="279"/>
      <c r="AI45" s="310"/>
      <c r="AJ45" s="556">
        <f>IF([1]日程・対戦記録表!AG68="","",[1]日程・対戦記録表!AG68)</f>
        <v>1</v>
      </c>
      <c r="AK45" s="284">
        <f>IF([1]日程・対戦記録表!AH68="","",[1]日程・対戦記録表!AH68)</f>
        <v>1</v>
      </c>
      <c r="AL45" s="284">
        <f>IF([1]日程・対戦記録表!AI68="","",[1]日程・対戦記録表!AI68)</f>
        <v>0</v>
      </c>
      <c r="AM45" s="556">
        <f>IF([1]日程・対戦記録表!AJ68="","",[1]日程・対戦記録表!AJ68)</f>
        <v>2</v>
      </c>
      <c r="AN45" s="310"/>
      <c r="AO45" s="277"/>
    </row>
    <row r="46" spans="1:42" ht="15.75" customHeight="1" x14ac:dyDescent="0.15">
      <c r="A46" s="262"/>
      <c r="B46" s="262"/>
      <c r="C46" s="262"/>
      <c r="D46" s="262"/>
      <c r="E46" s="302"/>
      <c r="F46" s="302"/>
      <c r="G46" s="318"/>
      <c r="H46" s="320"/>
      <c r="I46" s="319"/>
      <c r="J46" s="318"/>
      <c r="K46" s="302"/>
      <c r="L46" s="302"/>
      <c r="M46" s="262"/>
      <c r="N46" s="262"/>
      <c r="O46" s="278" t="str">
        <f>IF([1]日程・対戦記録表!P70="","",[1]日程・対戦記録表!P70)</f>
        <v/>
      </c>
      <c r="P46" s="556" t="str">
        <f>IF([1]日程・対戦記録表!Q70="","",[1]日程・対戦記録表!Q70)</f>
        <v/>
      </c>
      <c r="Q46" s="556" t="str">
        <f>IF([1]日程・対戦記録表!R70="","",[1]日程・対戦記録表!R70)</f>
        <v/>
      </c>
      <c r="R46" s="278" t="str">
        <f>IF([1]日程・対戦記録表!S70="","",[1]日程・対戦記録表!S70)</f>
        <v/>
      </c>
      <c r="S46" s="262"/>
      <c r="T46" s="262"/>
      <c r="U46" s="302"/>
      <c r="V46" s="302"/>
      <c r="W46" s="318"/>
      <c r="X46" s="320"/>
      <c r="Y46" s="319"/>
      <c r="Z46" s="318"/>
      <c r="AA46" s="302"/>
      <c r="AB46" s="302"/>
      <c r="AC46" s="262"/>
      <c r="AD46" s="262"/>
      <c r="AE46" s="262"/>
      <c r="AH46" s="260"/>
      <c r="AI46" s="307"/>
      <c r="AJ46" s="556" t="str">
        <f>IF([1]日程・対戦記録表!AG69="","",[1]日程・対戦記録表!AG69)</f>
        <v/>
      </c>
      <c r="AK46" s="317">
        <f>IF([1]日程・対戦記録表!AH69="","",[1]日程・対戦記録表!AH69)</f>
        <v>0</v>
      </c>
      <c r="AL46" s="317">
        <f>IF([1]日程・対戦記録表!AI69="","",[1]日程・対戦記録表!AI69)</f>
        <v>2</v>
      </c>
      <c r="AM46" s="556" t="str">
        <f>IF([1]日程・対戦記録表!AJ69="","",[1]日程・対戦記録表!AJ69)</f>
        <v/>
      </c>
      <c r="AN46" s="276"/>
      <c r="AO46" s="261"/>
    </row>
    <row r="47" spans="1:42" ht="15.75" customHeight="1" x14ac:dyDescent="0.15">
      <c r="A47" s="299"/>
      <c r="B47" s="275"/>
      <c r="C47" s="274"/>
      <c r="D47" s="297"/>
      <c r="E47" s="313"/>
      <c r="F47" s="275"/>
      <c r="G47" s="314">
        <f>SUM(G48:G50)</f>
        <v>4</v>
      </c>
      <c r="H47" s="557">
        <v>29</v>
      </c>
      <c r="I47" s="557"/>
      <c r="J47" s="314">
        <f>SUM(J48:J50)</f>
        <v>1</v>
      </c>
      <c r="K47" s="275"/>
      <c r="L47" s="313"/>
      <c r="M47" s="312"/>
      <c r="N47" s="274"/>
      <c r="O47" s="275"/>
      <c r="P47" s="275"/>
      <c r="Q47" s="275"/>
      <c r="R47" s="275"/>
      <c r="S47" s="274"/>
      <c r="T47" s="274"/>
      <c r="U47" s="316"/>
      <c r="V47" s="315"/>
      <c r="W47" s="314">
        <f>SUM(W48:W50)</f>
        <v>0</v>
      </c>
      <c r="X47" s="557">
        <v>30</v>
      </c>
      <c r="Y47" s="557"/>
      <c r="Z47" s="314">
        <f>SUM(Z48:Z50)</f>
        <v>5</v>
      </c>
      <c r="AA47" s="275"/>
      <c r="AB47" s="313"/>
      <c r="AC47" s="312"/>
      <c r="AD47" s="274"/>
      <c r="AE47" s="275"/>
      <c r="AG47" s="262"/>
      <c r="AH47" s="270"/>
      <c r="AI47" s="269"/>
      <c r="AJ47" s="278" t="str">
        <f>IF([1]日程・対戦記録表!AG70="","",[1]日程・対戦記録表!AG70)</f>
        <v/>
      </c>
      <c r="AK47" s="556" t="str">
        <f>IF([1]日程・対戦記録表!AH70="","",[1]日程・対戦記録表!AH70)</f>
        <v/>
      </c>
      <c r="AL47" s="556" t="str">
        <f>IF([1]日程・対戦記録表!AI70="","",[1]日程・対戦記録表!AI70)</f>
        <v/>
      </c>
      <c r="AM47" s="278" t="str">
        <f>IF([1]日程・対戦記録表!AJ70="","",[1]日程・対戦記録表!AJ70)</f>
        <v/>
      </c>
      <c r="AN47" s="270"/>
      <c r="AO47" s="269"/>
      <c r="AP47" s="262"/>
    </row>
    <row r="48" spans="1:42" ht="15.75" customHeight="1" x14ac:dyDescent="0.15">
      <c r="A48" s="275"/>
      <c r="B48" s="275"/>
      <c r="C48" s="275"/>
      <c r="D48" s="290"/>
      <c r="E48" s="310"/>
      <c r="F48" s="275"/>
      <c r="G48" s="556">
        <f>IF([1]日程・対戦記録表!P57="","",[1]日程・対戦記録表!P57)</f>
        <v>4</v>
      </c>
      <c r="H48" s="284">
        <f>IF([1]日程・対戦記録表!Q57="","",[1]日程・対戦記録表!Q57)</f>
        <v>2</v>
      </c>
      <c r="I48" s="284">
        <f>IF([1]日程・対戦記録表!R57="","",[1]日程・対戦記録表!R57)</f>
        <v>1</v>
      </c>
      <c r="J48" s="556">
        <f>IF([1]日程・対戦記録表!S57="","",[1]日程・対戦記録表!S57)</f>
        <v>1</v>
      </c>
      <c r="K48" s="275"/>
      <c r="L48" s="310"/>
      <c r="M48" s="289"/>
      <c r="N48" s="275"/>
      <c r="O48" s="275"/>
      <c r="P48" s="275"/>
      <c r="Q48" s="275"/>
      <c r="R48" s="275"/>
      <c r="S48" s="275"/>
      <c r="T48" s="275"/>
      <c r="U48" s="311"/>
      <c r="V48" s="275"/>
      <c r="W48" s="556">
        <f>IF([1]日程・対戦記録表!AG57="","",[1]日程・対戦記録表!AG57)</f>
        <v>0</v>
      </c>
      <c r="X48" s="284">
        <f>IF([1]日程・対戦記録表!AH57="","",[1]日程・対戦記録表!AH57)</f>
        <v>0</v>
      </c>
      <c r="Y48" s="284">
        <f>IF([1]日程・対戦記録表!AI57="","",[1]日程・対戦記録表!AI57)</f>
        <v>1</v>
      </c>
      <c r="Z48" s="556">
        <f>IF([1]日程・対戦記録表!AJ57="","",[1]日程・対戦記録表!AJ57)</f>
        <v>5</v>
      </c>
      <c r="AA48" s="275"/>
      <c r="AB48" s="310"/>
      <c r="AC48" s="289"/>
      <c r="AD48" s="275"/>
      <c r="AE48" s="275"/>
      <c r="AG48" s="262"/>
      <c r="AH48" s="573" t="str">
        <f>[1]日程・対戦記録表!AB68</f>
        <v>磐梨中</v>
      </c>
      <c r="AI48" s="574"/>
      <c r="AJ48" s="275"/>
      <c r="AK48" s="275"/>
      <c r="AL48" s="275"/>
      <c r="AM48" s="275"/>
      <c r="AN48" s="573" t="str">
        <f>[1]日程・対戦記録表!AL68</f>
        <v>八頭中</v>
      </c>
      <c r="AO48" s="574"/>
      <c r="AP48" s="262"/>
    </row>
    <row r="49" spans="1:42" ht="15.75" customHeight="1" x14ac:dyDescent="0.15">
      <c r="A49" s="275"/>
      <c r="B49" s="309"/>
      <c r="C49" s="306"/>
      <c r="D49" s="308"/>
      <c r="E49" s="307"/>
      <c r="F49" s="306"/>
      <c r="G49" s="556" t="str">
        <f>IF([1]日程・対戦記録表!P58="","",[1]日程・対戦記録表!P58)</f>
        <v/>
      </c>
      <c r="H49" s="284">
        <f>IF([1]日程・対戦記録表!Q58="","",[1]日程・対戦記録表!Q58)</f>
        <v>2</v>
      </c>
      <c r="I49" s="284">
        <f>IF([1]日程・対戦記録表!R58="","",[1]日程・対戦記録表!R58)</f>
        <v>0</v>
      </c>
      <c r="J49" s="556" t="str">
        <f>IF([1]日程・対戦記録表!S58="","",[1]日程・対戦記録表!S58)</f>
        <v/>
      </c>
      <c r="K49" s="300"/>
      <c r="L49" s="276"/>
      <c r="M49" s="305"/>
      <c r="N49" s="300"/>
      <c r="O49" s="275"/>
      <c r="P49" s="275"/>
      <c r="Q49" s="275"/>
      <c r="R49" s="275"/>
      <c r="S49" s="300"/>
      <c r="T49" s="276"/>
      <c r="U49" s="305"/>
      <c r="V49" s="306"/>
      <c r="W49" s="556" t="str">
        <f>IF([1]日程・対戦記録表!AG58="","",[1]日程・対戦記録表!AG58)</f>
        <v/>
      </c>
      <c r="X49" s="284">
        <f>IF([1]日程・対戦記録表!AH58="","",[1]日程・対戦記録表!AH58)</f>
        <v>0</v>
      </c>
      <c r="Y49" s="284">
        <f>IF([1]日程・対戦記録表!AI58="","",[1]日程・対戦記録表!AI58)</f>
        <v>4</v>
      </c>
      <c r="Z49" s="556" t="str">
        <f>IF([1]日程・対戦記録表!AJ58="","",[1]日程・対戦記録表!AJ58)</f>
        <v/>
      </c>
      <c r="AA49" s="300"/>
      <c r="AB49" s="276"/>
      <c r="AC49" s="305"/>
      <c r="AD49" s="300"/>
      <c r="AE49" s="275"/>
      <c r="AG49" s="262"/>
      <c r="AH49" s="575"/>
      <c r="AI49" s="574"/>
      <c r="AJ49" s="262"/>
      <c r="AK49" s="262"/>
      <c r="AL49" s="262"/>
      <c r="AM49" s="262"/>
      <c r="AN49" s="575"/>
      <c r="AO49" s="574"/>
      <c r="AP49" s="262"/>
    </row>
    <row r="50" spans="1:42" ht="15.75" customHeight="1" x14ac:dyDescent="0.15">
      <c r="A50" s="262"/>
      <c r="B50" s="262"/>
      <c r="C50" s="300"/>
      <c r="D50" s="304"/>
      <c r="E50" s="300"/>
      <c r="F50" s="300"/>
      <c r="G50" s="278" t="str">
        <f>IF([1]日程・対戦記録表!P59="","",[1]日程・対戦記録表!P59)</f>
        <v/>
      </c>
      <c r="H50" s="556" t="str">
        <f>IF([1]日程・対戦記録表!Q59="","",[1]日程・対戦記録表!Q59)</f>
        <v/>
      </c>
      <c r="I50" s="556" t="str">
        <f>IF([1]日程・対戦記録表!R59="","",[1]日程・対戦記録表!R59)</f>
        <v/>
      </c>
      <c r="J50" s="278" t="str">
        <f>IF([1]日程・対戦記録表!S59="","",[1]日程・対戦記録表!S59)</f>
        <v/>
      </c>
      <c r="K50" s="302"/>
      <c r="L50" s="302"/>
      <c r="M50" s="303"/>
      <c r="N50" s="302"/>
      <c r="O50" s="275"/>
      <c r="P50" s="275"/>
      <c r="Q50" s="275"/>
      <c r="R50" s="262"/>
      <c r="S50" s="302"/>
      <c r="T50" s="302"/>
      <c r="U50" s="303"/>
      <c r="V50" s="302"/>
      <c r="W50" s="278" t="str">
        <f>IF([1]日程・対戦記録表!AG59="","",[1]日程・対戦記録表!AG59)</f>
        <v/>
      </c>
      <c r="X50" s="556" t="str">
        <f>IF([1]日程・対戦記録表!AH59="","",[1]日程・対戦記録表!AH59)</f>
        <v/>
      </c>
      <c r="Y50" s="556" t="str">
        <f>IF([1]日程・対戦記録表!AI59="","",[1]日程・対戦記録表!AI59)</f>
        <v/>
      </c>
      <c r="Z50" s="278" t="str">
        <f>IF([1]日程・対戦記録表!AJ59="","",[1]日程・対戦記録表!AJ59)</f>
        <v/>
      </c>
      <c r="AA50" s="300"/>
      <c r="AB50" s="300"/>
      <c r="AC50" s="301"/>
      <c r="AD50" s="300"/>
      <c r="AE50" s="275"/>
      <c r="AG50" s="262"/>
      <c r="AH50" s="575"/>
      <c r="AI50" s="574"/>
      <c r="AJ50" s="262"/>
      <c r="AK50" s="262"/>
      <c r="AL50" s="262"/>
      <c r="AM50" s="262"/>
      <c r="AN50" s="575"/>
      <c r="AO50" s="574"/>
      <c r="AP50" s="262"/>
    </row>
    <row r="51" spans="1:42" ht="15.75" customHeight="1" x14ac:dyDescent="0.15">
      <c r="A51" s="299"/>
      <c r="B51" s="295"/>
      <c r="C51" s="275"/>
      <c r="D51" s="298"/>
      <c r="E51" s="294"/>
      <c r="F51" s="275"/>
      <c r="G51" s="292"/>
      <c r="H51" s="275"/>
      <c r="I51" s="274"/>
      <c r="J51" s="297"/>
      <c r="K51" s="227">
        <f>SUM(K52:K54)</f>
        <v>1</v>
      </c>
      <c r="L51" s="557">
        <v>25</v>
      </c>
      <c r="M51" s="572"/>
      <c r="N51" s="227">
        <f>SUM(N52:N54)</f>
        <v>2</v>
      </c>
      <c r="O51" s="280"/>
      <c r="P51" s="275"/>
      <c r="Q51" s="274"/>
      <c r="R51" s="297"/>
      <c r="S51" s="227">
        <f>SUM(S52:S54)</f>
        <v>0</v>
      </c>
      <c r="T51" s="557">
        <v>26</v>
      </c>
      <c r="U51" s="572"/>
      <c r="V51" s="227">
        <f>SUM(V52:V54)</f>
        <v>6</v>
      </c>
      <c r="W51" s="296"/>
      <c r="X51" s="275"/>
      <c r="Y51" s="275"/>
      <c r="Z51" s="295"/>
      <c r="AA51" s="275"/>
      <c r="AB51" s="294"/>
      <c r="AC51" s="293"/>
      <c r="AD51" s="275"/>
      <c r="AE51" s="292"/>
      <c r="AG51" s="262"/>
      <c r="AH51" s="575"/>
      <c r="AI51" s="574"/>
      <c r="AJ51" s="262"/>
      <c r="AK51" s="262"/>
      <c r="AL51" s="262"/>
      <c r="AM51" s="262"/>
      <c r="AN51" s="575"/>
      <c r="AO51" s="574"/>
      <c r="AP51" s="262"/>
    </row>
    <row r="52" spans="1:42" ht="15.75" customHeight="1" x14ac:dyDescent="0.15">
      <c r="A52" s="275"/>
      <c r="B52" s="275"/>
      <c r="C52" s="286"/>
      <c r="D52" s="291"/>
      <c r="E52" s="288"/>
      <c r="F52" s="286"/>
      <c r="G52" s="275"/>
      <c r="H52" s="275"/>
      <c r="I52" s="275"/>
      <c r="J52" s="290"/>
      <c r="K52" s="576">
        <f>IF([1]日程・対戦記録表!P47="","",[1]日程・対戦記録表!P47)</f>
        <v>1</v>
      </c>
      <c r="L52" s="284">
        <f>IF([1]日程・対戦記録表!Q47="","",[1]日程・対戦記録表!Q47)</f>
        <v>1</v>
      </c>
      <c r="M52" s="284">
        <f>IF([1]日程・対戦記録表!R47="","",[1]日程・対戦記録表!R47)</f>
        <v>1</v>
      </c>
      <c r="N52" s="556">
        <f>IF([1]日程・対戦記録表!S47="","",[1]日程・対戦記録表!S47)</f>
        <v>2</v>
      </c>
      <c r="O52" s="280"/>
      <c r="P52" s="275"/>
      <c r="Q52" s="275"/>
      <c r="R52" s="290"/>
      <c r="S52" s="576">
        <f>IF([1]日程・対戦記録表!AG47="","",[1]日程・対戦記録表!AG47)</f>
        <v>0</v>
      </c>
      <c r="T52" s="284">
        <f>IF([1]日程・対戦記録表!AH47="","",[1]日程・対戦記録表!AH47)</f>
        <v>0</v>
      </c>
      <c r="U52" s="284">
        <f>IF([1]日程・対戦記録表!AI47="","",[1]日程・対戦記録表!AI47)</f>
        <v>2</v>
      </c>
      <c r="V52" s="556">
        <f>IF([1]日程・対戦記録表!AJ47="","",[1]日程・対戦記録表!AJ47)</f>
        <v>6</v>
      </c>
      <c r="W52" s="289"/>
      <c r="X52" s="275"/>
      <c r="Y52" s="275"/>
      <c r="Z52" s="275"/>
      <c r="AA52" s="286"/>
      <c r="AB52" s="288"/>
      <c r="AC52" s="287"/>
      <c r="AD52" s="286"/>
      <c r="AE52" s="275"/>
      <c r="AG52" s="262"/>
      <c r="AH52" s="261"/>
      <c r="AI52" s="260"/>
      <c r="AJ52" s="262"/>
      <c r="AK52" s="262"/>
      <c r="AL52" s="262"/>
      <c r="AM52" s="262"/>
      <c r="AN52" s="261"/>
      <c r="AO52" s="260"/>
      <c r="AP52" s="262"/>
    </row>
    <row r="53" spans="1:42" ht="15.75" customHeight="1" x14ac:dyDescent="0.15">
      <c r="A53" s="275"/>
      <c r="B53" s="262"/>
      <c r="C53" s="262"/>
      <c r="D53" s="285"/>
      <c r="E53" s="283"/>
      <c r="F53" s="281"/>
      <c r="G53" s="262"/>
      <c r="H53" s="262"/>
      <c r="I53" s="262"/>
      <c r="J53" s="279"/>
      <c r="K53" s="576" t="str">
        <f>IF([1]日程・対戦記録表!P48="","",[1]日程・対戦記録表!P48)</f>
        <v/>
      </c>
      <c r="L53" s="284">
        <f>IF([1]日程・対戦記録表!Q48="","",[1]日程・対戦記録表!Q48)</f>
        <v>0</v>
      </c>
      <c r="M53" s="284">
        <f>IF([1]日程・対戦記録表!R48="","",[1]日程・対戦記録表!R48)</f>
        <v>1</v>
      </c>
      <c r="N53" s="556" t="str">
        <f>IF([1]日程・対戦記録表!S48="","",[1]日程・対戦記録表!S48)</f>
        <v/>
      </c>
      <c r="O53" s="280"/>
      <c r="P53" s="262"/>
      <c r="Q53" s="262"/>
      <c r="R53" s="279"/>
      <c r="S53" s="576" t="str">
        <f>IF([1]日程・対戦記録表!X48="","",[1]日程・対戦記録表!X48)</f>
        <v/>
      </c>
      <c r="T53" s="284">
        <f>IF([1]日程・対戦記録表!AH48="","",[1]日程・対戦記録表!AH48)</f>
        <v>0</v>
      </c>
      <c r="U53" s="284">
        <f>IF([1]日程・対戦記録表!AI48="","",[1]日程・対戦記録表!AI48)</f>
        <v>4</v>
      </c>
      <c r="V53" s="556" t="str">
        <f>IF([1]日程・対戦記録表!AA48="","",[1]日程・対戦記録表!AA48)</f>
        <v/>
      </c>
      <c r="W53" s="277"/>
      <c r="X53" s="262"/>
      <c r="Y53" s="262"/>
      <c r="Z53" s="262"/>
      <c r="AA53" s="262"/>
      <c r="AB53" s="283"/>
      <c r="AC53" s="282"/>
      <c r="AD53" s="281"/>
      <c r="AE53" s="262"/>
      <c r="AH53" s="262"/>
      <c r="AI53" s="262"/>
      <c r="AJ53" s="262"/>
      <c r="AK53" s="262"/>
      <c r="AL53" s="262"/>
      <c r="AM53" s="262"/>
      <c r="AN53" s="262"/>
      <c r="AO53" s="262"/>
    </row>
    <row r="54" spans="1:42" ht="15.75" customHeight="1" x14ac:dyDescent="0.15">
      <c r="A54" s="262"/>
      <c r="B54" s="262"/>
      <c r="C54" s="262"/>
      <c r="D54" s="279"/>
      <c r="E54" s="262"/>
      <c r="F54" s="262"/>
      <c r="G54" s="262"/>
      <c r="H54" s="262"/>
      <c r="I54" s="262"/>
      <c r="J54" s="279"/>
      <c r="K54" s="278" t="str">
        <f>IF([1]日程・対戦記録表!P49="","",[1]日程・対戦記録表!P49)</f>
        <v/>
      </c>
      <c r="L54" s="556" t="str">
        <f>IF([1]日程・対戦記録表!Q49="","",[1]日程・対戦記録表!Q49)</f>
        <v/>
      </c>
      <c r="M54" s="556" t="str">
        <f>IF([1]日程・対戦記録表!R49="","",[1]日程・対戦記録表!R49)</f>
        <v/>
      </c>
      <c r="N54" s="278" t="str">
        <f>IF([1]日程・対戦記録表!S49="","",[1]日程・対戦記録表!S49)</f>
        <v/>
      </c>
      <c r="O54" s="280"/>
      <c r="P54" s="262"/>
      <c r="Q54" s="262"/>
      <c r="R54" s="279"/>
      <c r="S54" s="278" t="str">
        <f>IF([1]日程・対戦記録表!AG49="","",[1]日程・対戦記録表!AG49)</f>
        <v/>
      </c>
      <c r="T54" s="556" t="str">
        <f>IF([1]日程・対戦記録表!AH49="","",[1]日程・対戦記録表!AH49)</f>
        <v/>
      </c>
      <c r="U54" s="556" t="str">
        <f>IF([1]日程・対戦記録表!Z49="","",[1]日程・対戦記録表!Z49)</f>
        <v/>
      </c>
      <c r="V54" s="278" t="str">
        <f>IF([1]日程・対戦記録表!AJ49="","",[1]日程・対戦記録表!AJ49)</f>
        <v/>
      </c>
      <c r="W54" s="277"/>
      <c r="X54" s="262"/>
      <c r="Y54" s="262"/>
      <c r="Z54" s="262"/>
      <c r="AA54" s="262"/>
      <c r="AB54" s="262"/>
      <c r="AC54" s="277"/>
      <c r="AD54" s="262"/>
      <c r="AE54" s="262"/>
    </row>
    <row r="55" spans="1:42" ht="15.75" customHeight="1" x14ac:dyDescent="0.15">
      <c r="A55" s="276"/>
      <c r="D55" s="273" t="s">
        <v>111</v>
      </c>
      <c r="E55" s="272">
        <v>1</v>
      </c>
      <c r="F55" s="274"/>
      <c r="G55" s="274"/>
      <c r="H55" s="275"/>
      <c r="I55" s="275"/>
      <c r="J55" s="273" t="s">
        <v>112</v>
      </c>
      <c r="K55" s="272">
        <v>2</v>
      </c>
      <c r="L55" s="275"/>
      <c r="M55" s="275"/>
      <c r="N55" s="273" t="s">
        <v>111</v>
      </c>
      <c r="O55" s="272">
        <v>3</v>
      </c>
      <c r="P55" s="275"/>
      <c r="Q55" s="275"/>
      <c r="R55" s="273" t="s">
        <v>112</v>
      </c>
      <c r="S55" s="272">
        <v>3</v>
      </c>
      <c r="T55" s="275"/>
      <c r="U55" s="275"/>
      <c r="V55" s="273" t="s">
        <v>111</v>
      </c>
      <c r="W55" s="272">
        <v>2</v>
      </c>
      <c r="X55" s="275"/>
      <c r="Y55" s="275"/>
      <c r="Z55" s="274"/>
      <c r="AA55" s="274"/>
      <c r="AB55" s="273" t="s">
        <v>112</v>
      </c>
      <c r="AC55" s="272">
        <v>1</v>
      </c>
      <c r="AD55" s="271"/>
      <c r="AE55" s="271"/>
    </row>
    <row r="56" spans="1:42" ht="15.75" customHeight="1" x14ac:dyDescent="0.15">
      <c r="A56" s="262"/>
      <c r="B56" s="265"/>
      <c r="C56" s="265"/>
      <c r="D56" s="270"/>
      <c r="E56" s="269"/>
      <c r="F56" s="265"/>
      <c r="G56" s="265"/>
      <c r="H56" s="266"/>
      <c r="I56" s="266"/>
      <c r="J56" s="270"/>
      <c r="K56" s="269"/>
      <c r="N56" s="270"/>
      <c r="O56" s="269"/>
      <c r="R56" s="270"/>
      <c r="S56" s="269"/>
      <c r="V56" s="270"/>
      <c r="W56" s="269"/>
      <c r="AB56" s="270"/>
      <c r="AC56" s="269"/>
      <c r="AD56" s="265"/>
      <c r="AE56" s="265"/>
    </row>
    <row r="57" spans="1:42" ht="15.75" customHeight="1" x14ac:dyDescent="0.15">
      <c r="A57" s="262"/>
      <c r="B57" s="265"/>
      <c r="C57" s="265"/>
      <c r="D57" s="575" t="str">
        <f>IF([1]女子a!$AP$40="","",LEFT(VLOOKUP(E55,[1]女子a!$AW$31:$AY$34,2,FALSE),3))</f>
        <v>玖珂中</v>
      </c>
      <c r="E57" s="574"/>
      <c r="F57" s="265"/>
      <c r="G57" s="265"/>
      <c r="H57" s="266"/>
      <c r="I57" s="266"/>
      <c r="J57" s="575" t="str">
        <f>IF([1]女子b!$AP$40="","",LEFT(VLOOKUP(K55,[1]女子b!$AW$31:$AY$34,2,FALSE),3))</f>
        <v>瀬戸中</v>
      </c>
      <c r="K57" s="574"/>
      <c r="L57" s="267"/>
      <c r="M57" s="267"/>
      <c r="N57" s="575" t="str">
        <f>IF([1]女子a!$AP$40="","",LEFT(VLOOKUP(O55,[1]女子a!$AW$31:$AY$34,2,FALSE),3))</f>
        <v>磐梨中</v>
      </c>
      <c r="O57" s="574"/>
      <c r="P57" s="268"/>
      <c r="Q57" s="268"/>
      <c r="R57" s="575" t="str">
        <f>IF([1]女子b!$AP$40="","",LEFT(VLOOKUP(S55,[1]女子b!$AW$31:$AY$34,2,FALSE),3))</f>
        <v>桜ヶ丘</v>
      </c>
      <c r="S57" s="574"/>
      <c r="T57" s="267"/>
      <c r="U57" s="267"/>
      <c r="V57" s="575" t="str">
        <f>IF([1]女子a!$AP$40="","",LEFT(VLOOKUP(W55,[1]女子a!$AW$31:$AY$34,2,FALSE),3))</f>
        <v>八頭中</v>
      </c>
      <c r="W57" s="574"/>
      <c r="X57" s="266"/>
      <c r="Y57" s="266"/>
      <c r="Z57" s="265"/>
      <c r="AA57" s="265"/>
      <c r="AB57" s="575" t="str">
        <f>IF([1]女子b!$AP$40="","",LEFT(VLOOKUP(AC55,[1]女子b!$AW$31:$AY$34,2,FALSE),3))</f>
        <v>横田中</v>
      </c>
      <c r="AC57" s="574"/>
      <c r="AD57" s="265"/>
      <c r="AE57" s="265"/>
    </row>
    <row r="58" spans="1:42" ht="15.75" customHeight="1" x14ac:dyDescent="0.15">
      <c r="A58" s="262"/>
      <c r="B58" s="265"/>
      <c r="C58" s="265"/>
      <c r="D58" s="575"/>
      <c r="E58" s="574"/>
      <c r="F58" s="265"/>
      <c r="G58" s="265"/>
      <c r="H58" s="262"/>
      <c r="I58" s="262"/>
      <c r="J58" s="575"/>
      <c r="K58" s="574"/>
      <c r="L58" s="262"/>
      <c r="M58" s="262"/>
      <c r="N58" s="575"/>
      <c r="O58" s="574"/>
      <c r="P58" s="262"/>
      <c r="Q58" s="262"/>
      <c r="R58" s="575"/>
      <c r="S58" s="574"/>
      <c r="T58" s="262"/>
      <c r="U58" s="262"/>
      <c r="V58" s="575"/>
      <c r="W58" s="574"/>
      <c r="X58" s="262"/>
      <c r="Y58" s="262"/>
      <c r="Z58" s="265"/>
      <c r="AA58" s="265"/>
      <c r="AB58" s="575"/>
      <c r="AC58" s="574"/>
      <c r="AD58" s="265"/>
      <c r="AE58" s="265"/>
    </row>
    <row r="59" spans="1:42" ht="15.75" customHeight="1" x14ac:dyDescent="0.15">
      <c r="B59" s="265"/>
      <c r="C59" s="265"/>
      <c r="D59" s="575"/>
      <c r="E59" s="574"/>
      <c r="F59" s="265"/>
      <c r="G59" s="265"/>
      <c r="H59" s="262"/>
      <c r="I59" s="262"/>
      <c r="J59" s="575"/>
      <c r="K59" s="574"/>
      <c r="L59" s="262"/>
      <c r="M59" s="262"/>
      <c r="N59" s="575"/>
      <c r="O59" s="574"/>
      <c r="P59" s="262"/>
      <c r="Q59" s="262"/>
      <c r="R59" s="575"/>
      <c r="S59" s="574"/>
      <c r="T59" s="262"/>
      <c r="U59" s="262"/>
      <c r="V59" s="575"/>
      <c r="W59" s="574"/>
      <c r="X59" s="262"/>
      <c r="Y59" s="262"/>
      <c r="Z59" s="265"/>
      <c r="AA59" s="265"/>
      <c r="AB59" s="575"/>
      <c r="AC59" s="574"/>
      <c r="AD59" s="265"/>
      <c r="AE59" s="265"/>
    </row>
    <row r="60" spans="1:42" ht="15.75" customHeight="1" x14ac:dyDescent="0.15">
      <c r="B60" s="263"/>
      <c r="C60" s="263"/>
      <c r="D60" s="575"/>
      <c r="E60" s="574"/>
      <c r="F60" s="262"/>
      <c r="G60" s="262"/>
      <c r="H60" s="262"/>
      <c r="I60" s="262"/>
      <c r="J60" s="575"/>
      <c r="K60" s="574"/>
      <c r="L60" s="262"/>
      <c r="M60" s="262"/>
      <c r="N60" s="575"/>
      <c r="O60" s="574"/>
      <c r="P60" s="264"/>
      <c r="Q60" s="262"/>
      <c r="R60" s="575"/>
      <c r="S60" s="574"/>
      <c r="T60" s="264"/>
      <c r="U60" s="262"/>
      <c r="V60" s="575"/>
      <c r="W60" s="574"/>
      <c r="X60" s="262"/>
      <c r="Y60" s="262"/>
      <c r="Z60" s="262"/>
      <c r="AA60" s="262"/>
      <c r="AB60" s="575"/>
      <c r="AC60" s="574"/>
      <c r="AD60" s="263"/>
      <c r="AE60" s="263"/>
    </row>
    <row r="61" spans="1:42" ht="15.75" customHeight="1" x14ac:dyDescent="0.15">
      <c r="D61" s="261"/>
      <c r="E61" s="260"/>
      <c r="F61" s="262"/>
      <c r="G61" s="262"/>
      <c r="H61" s="262"/>
      <c r="I61" s="262"/>
      <c r="J61" s="261"/>
      <c r="K61" s="260"/>
      <c r="L61" s="262"/>
      <c r="M61" s="262"/>
      <c r="N61" s="261"/>
      <c r="O61" s="260"/>
      <c r="P61" s="262"/>
      <c r="Q61" s="262"/>
      <c r="R61" s="261"/>
      <c r="S61" s="260"/>
      <c r="T61" s="262"/>
      <c r="U61" s="262"/>
      <c r="V61" s="261"/>
      <c r="W61" s="260"/>
      <c r="X61" s="262"/>
      <c r="Y61" s="262"/>
      <c r="Z61" s="262"/>
      <c r="AA61" s="262"/>
      <c r="AB61" s="261"/>
      <c r="AC61" s="260"/>
    </row>
  </sheetData>
  <mergeCells count="82">
    <mergeCell ref="V57:W60"/>
    <mergeCell ref="AB57:AC60"/>
    <mergeCell ref="L54:M54"/>
    <mergeCell ref="T54:U54"/>
    <mergeCell ref="D57:E60"/>
    <mergeCell ref="J57:K60"/>
    <mergeCell ref="N57:O60"/>
    <mergeCell ref="R57:S60"/>
    <mergeCell ref="AN48:AO51"/>
    <mergeCell ref="H50:I50"/>
    <mergeCell ref="X50:Y50"/>
    <mergeCell ref="L51:M51"/>
    <mergeCell ref="T51:U51"/>
    <mergeCell ref="K52:K53"/>
    <mergeCell ref="N52:N53"/>
    <mergeCell ref="S52:S53"/>
    <mergeCell ref="V52:V53"/>
    <mergeCell ref="H47:I47"/>
    <mergeCell ref="X47:Y47"/>
    <mergeCell ref="AK47:AL47"/>
    <mergeCell ref="G48:G49"/>
    <mergeCell ref="J48:J49"/>
    <mergeCell ref="W48:W49"/>
    <mergeCell ref="Z48:Z49"/>
    <mergeCell ref="AH48:AI51"/>
    <mergeCell ref="AM45:AM46"/>
    <mergeCell ref="P46:Q46"/>
    <mergeCell ref="V27:W30"/>
    <mergeCell ref="AB27:AC30"/>
    <mergeCell ref="L39:M40"/>
    <mergeCell ref="N39:S40"/>
    <mergeCell ref="AG40:AH41"/>
    <mergeCell ref="AI40:AN41"/>
    <mergeCell ref="P43:Q43"/>
    <mergeCell ref="O44:O45"/>
    <mergeCell ref="R44:R45"/>
    <mergeCell ref="AK44:AL44"/>
    <mergeCell ref="AJ45:AJ46"/>
    <mergeCell ref="L24:M24"/>
    <mergeCell ref="T24:U24"/>
    <mergeCell ref="D27:E30"/>
    <mergeCell ref="J27:K30"/>
    <mergeCell ref="L27:M27"/>
    <mergeCell ref="N27:O30"/>
    <mergeCell ref="R27:S30"/>
    <mergeCell ref="T27:U27"/>
    <mergeCell ref="AN18:AO21"/>
    <mergeCell ref="H20:I20"/>
    <mergeCell ref="X20:Y20"/>
    <mergeCell ref="L21:M21"/>
    <mergeCell ref="T21:U21"/>
    <mergeCell ref="K22:K23"/>
    <mergeCell ref="N22:N23"/>
    <mergeCell ref="S22:S23"/>
    <mergeCell ref="V22:V23"/>
    <mergeCell ref="P16:Q16"/>
    <mergeCell ref="H17:I17"/>
    <mergeCell ref="X17:Y17"/>
    <mergeCell ref="AK17:AL17"/>
    <mergeCell ref="G18:G19"/>
    <mergeCell ref="J18:J19"/>
    <mergeCell ref="W18:W19"/>
    <mergeCell ref="Z18:Z19"/>
    <mergeCell ref="AH18:AI21"/>
    <mergeCell ref="L9:M10"/>
    <mergeCell ref="N9:S10"/>
    <mergeCell ref="AG10:AH11"/>
    <mergeCell ref="AI10:AN11"/>
    <mergeCell ref="P13:Q13"/>
    <mergeCell ref="O14:O15"/>
    <mergeCell ref="R14:R15"/>
    <mergeCell ref="AK14:AL14"/>
    <mergeCell ref="AJ15:AJ16"/>
    <mergeCell ref="AM15:AM16"/>
    <mergeCell ref="AD4:AE4"/>
    <mergeCell ref="AF4:AK4"/>
    <mergeCell ref="AL4:AM4"/>
    <mergeCell ref="B1:AO1"/>
    <mergeCell ref="AD2:AE2"/>
    <mergeCell ref="AF2:AO2"/>
    <mergeCell ref="AF3:AG3"/>
    <mergeCell ref="AH3:AO3"/>
  </mergeCells>
  <phoneticPr fontId="2"/>
  <conditionalFormatting sqref="R7:AE7">
    <cfRule type="expression" dxfId="60" priority="59" stopIfTrue="1">
      <formula>$Q$7&gt;#REF!</formula>
    </cfRule>
  </conditionalFormatting>
  <conditionalFormatting sqref="Q7">
    <cfRule type="expression" dxfId="59" priority="60" stopIfTrue="1">
      <formula>$Q$7&gt;#REF!</formula>
    </cfRule>
  </conditionalFormatting>
  <conditionalFormatting sqref="P7:P8">
    <cfRule type="expression" dxfId="58" priority="61" stopIfTrue="1">
      <formula>$Q$7&gt;#REF!</formula>
    </cfRule>
  </conditionalFormatting>
  <conditionalFormatting sqref="D17:D24">
    <cfRule type="expression" dxfId="57" priority="58">
      <formula>$G$17&gt;$J$17</formula>
    </cfRule>
  </conditionalFormatting>
  <conditionalFormatting sqref="E16:H16">
    <cfRule type="expression" dxfId="56" priority="57">
      <formula>$G$17&gt;$J$17</formula>
    </cfRule>
  </conditionalFormatting>
  <conditionalFormatting sqref="I16:L16">
    <cfRule type="expression" dxfId="55" priority="56">
      <formula>$J$17&gt;$G$17</formula>
    </cfRule>
  </conditionalFormatting>
  <conditionalFormatting sqref="J21:J24">
    <cfRule type="expression" dxfId="54" priority="55">
      <formula>$K$21&gt;$N$21</formula>
    </cfRule>
  </conditionalFormatting>
  <conditionalFormatting sqref="K20:L20">
    <cfRule type="expression" dxfId="53" priority="54">
      <formula>$K$21&gt;$N$21</formula>
    </cfRule>
  </conditionalFormatting>
  <conditionalFormatting sqref="M20:N20">
    <cfRule type="expression" dxfId="52" priority="12">
      <formula>$K$21&lt;$N$21</formula>
    </cfRule>
    <cfRule type="expression" dxfId="51" priority="53">
      <formula>$N$21&gt;$K$21</formula>
    </cfRule>
  </conditionalFormatting>
  <conditionalFormatting sqref="O21:O24">
    <cfRule type="expression" dxfId="50" priority="52">
      <formula>$N$21&gt;$K$21</formula>
    </cfRule>
  </conditionalFormatting>
  <conditionalFormatting sqref="R21:R24">
    <cfRule type="expression" dxfId="49" priority="51">
      <formula>$S$21&gt;$V$21</formula>
    </cfRule>
  </conditionalFormatting>
  <conditionalFormatting sqref="S20:T20">
    <cfRule type="expression" dxfId="48" priority="50">
      <formula>$S$21&gt;$V$21</formula>
    </cfRule>
  </conditionalFormatting>
  <conditionalFormatting sqref="U20:V20">
    <cfRule type="expression" dxfId="47" priority="49">
      <formula>$V$21&gt;$S$21</formula>
    </cfRule>
  </conditionalFormatting>
  <conditionalFormatting sqref="W21:W24">
    <cfRule type="expression" dxfId="46" priority="48">
      <formula>$V$21&gt;$S$21</formula>
    </cfRule>
  </conditionalFormatting>
  <conditionalFormatting sqref="AC17:AC24">
    <cfRule type="expression" dxfId="45" priority="47">
      <formula>$Z$17&gt;$W$17</formula>
    </cfRule>
  </conditionalFormatting>
  <conditionalFormatting sqref="U16:X16">
    <cfRule type="expression" dxfId="44" priority="46">
      <formula>$W$17&gt;$Z$17</formula>
    </cfRule>
  </conditionalFormatting>
  <conditionalFormatting sqref="Y16:AB16">
    <cfRule type="expression" dxfId="43" priority="45">
      <formula>$Z$17&gt;$W$17</formula>
    </cfRule>
  </conditionalFormatting>
  <conditionalFormatting sqref="I12:P12">
    <cfRule type="expression" dxfId="42" priority="44">
      <formula>$O$13&gt;$R$13</formula>
    </cfRule>
  </conditionalFormatting>
  <conditionalFormatting sqref="Q12:X12">
    <cfRule type="expression" dxfId="41" priority="43">
      <formula>$R$13&gt;$O$13</formula>
    </cfRule>
  </conditionalFormatting>
  <conditionalFormatting sqref="AH14:AH16">
    <cfRule type="expression" dxfId="40" priority="42">
      <formula>$AJ$14&gt;$AM$14</formula>
    </cfRule>
  </conditionalFormatting>
  <conditionalFormatting sqref="AI13:AK13">
    <cfRule type="expression" dxfId="39" priority="41">
      <formula>$AJ$14&gt;$AM$14</formula>
    </cfRule>
  </conditionalFormatting>
  <conditionalFormatting sqref="AL13:AN13">
    <cfRule type="expression" dxfId="38" priority="40">
      <formula>$AM$14&gt;$AJ$14</formula>
    </cfRule>
  </conditionalFormatting>
  <conditionalFormatting sqref="AO14:AO16">
    <cfRule type="expression" dxfId="37" priority="39">
      <formula>$AM$14&gt;$AJ$14</formula>
    </cfRule>
  </conditionalFormatting>
  <conditionalFormatting sqref="D47:D54">
    <cfRule type="expression" dxfId="36" priority="38">
      <formula>$G$47&gt;$J$47</formula>
    </cfRule>
  </conditionalFormatting>
  <conditionalFormatting sqref="E46:H46">
    <cfRule type="expression" dxfId="35" priority="37">
      <formula>$G$47&gt;$J$47</formula>
    </cfRule>
  </conditionalFormatting>
  <conditionalFormatting sqref="I46:L46">
    <cfRule type="expression" dxfId="34" priority="8">
      <formula>$G$47&lt;$J$47</formula>
    </cfRule>
    <cfRule type="expression" dxfId="33" priority="36">
      <formula>$J$47&gt;$G$47</formula>
    </cfRule>
  </conditionalFormatting>
  <conditionalFormatting sqref="J51:J54">
    <cfRule type="expression" dxfId="32" priority="35">
      <formula>$K$51&gt;$N$51</formula>
    </cfRule>
  </conditionalFormatting>
  <conditionalFormatting sqref="K50:L50">
    <cfRule type="expression" dxfId="31" priority="34">
      <formula>$K$51&gt;$N$51</formula>
    </cfRule>
  </conditionalFormatting>
  <conditionalFormatting sqref="M50:N50">
    <cfRule type="expression" dxfId="30" priority="9">
      <formula>$K$51&lt;$N$51</formula>
    </cfRule>
    <cfRule type="expression" dxfId="29" priority="33">
      <formula>$N$51&gt;$K$51</formula>
    </cfRule>
  </conditionalFormatting>
  <conditionalFormatting sqref="O51:O54">
    <cfRule type="expression" dxfId="28" priority="32">
      <formula>$N$51&gt;$K$51</formula>
    </cfRule>
  </conditionalFormatting>
  <conditionalFormatting sqref="R51:R54">
    <cfRule type="expression" dxfId="27" priority="31">
      <formula>$S$51&gt;$V$51</formula>
    </cfRule>
  </conditionalFormatting>
  <conditionalFormatting sqref="S50:T50">
    <cfRule type="expression" dxfId="26" priority="30">
      <formula>$S$51&gt;$V$51</formula>
    </cfRule>
  </conditionalFormatting>
  <conditionalFormatting sqref="U50:V50">
    <cfRule type="expression" dxfId="25" priority="29">
      <formula>$V$51&gt;$S$51</formula>
    </cfRule>
  </conditionalFormatting>
  <conditionalFormatting sqref="W51:W54">
    <cfRule type="expression" dxfId="24" priority="28">
      <formula>$V$51&gt;$S$51</formula>
    </cfRule>
  </conditionalFormatting>
  <conditionalFormatting sqref="AC47:AC54">
    <cfRule type="expression" dxfId="23" priority="27">
      <formula>$Z$47&gt;$W$47</formula>
    </cfRule>
  </conditionalFormatting>
  <conditionalFormatting sqref="U46:X46">
    <cfRule type="expression" dxfId="22" priority="26">
      <formula>$W$47&gt;$Z$47</formula>
    </cfRule>
  </conditionalFormatting>
  <conditionalFormatting sqref="Y46:AB46">
    <cfRule type="expression" dxfId="21" priority="25">
      <formula>$Z$47&gt;$W$47</formula>
    </cfRule>
  </conditionalFormatting>
  <conditionalFormatting sqref="I42:P42">
    <cfRule type="expression" dxfId="20" priority="24">
      <formula>$O$43&gt;$R$43</formula>
    </cfRule>
  </conditionalFormatting>
  <conditionalFormatting sqref="Q42:X42">
    <cfRule type="expression" dxfId="19" priority="23">
      <formula>$R$43&gt;$O$43</formula>
    </cfRule>
  </conditionalFormatting>
  <conditionalFormatting sqref="AH44:AH46">
    <cfRule type="expression" dxfId="18" priority="22">
      <formula>$AJ$44&gt;$AM$44</formula>
    </cfRule>
  </conditionalFormatting>
  <conditionalFormatting sqref="AI43:AK43">
    <cfRule type="expression" dxfId="17" priority="21">
      <formula>$AJ$44&gt;$AM$44</formula>
    </cfRule>
  </conditionalFormatting>
  <conditionalFormatting sqref="AL43:AN43">
    <cfRule type="expression" dxfId="16" priority="20">
      <formula>$AM$44&gt;$AJ$44</formula>
    </cfRule>
  </conditionalFormatting>
  <conditionalFormatting sqref="AO44:AO46">
    <cfRule type="expression" dxfId="15" priority="19">
      <formula>$AM$44&gt;$AJ$44</formula>
    </cfRule>
  </conditionalFormatting>
  <conditionalFormatting sqref="U17:U20">
    <cfRule type="expression" dxfId="14" priority="15">
      <formula>$W$17&gt;$Z$17</formula>
    </cfRule>
    <cfRule type="expression" dxfId="13" priority="18">
      <formula>$S$21&lt;$V$21</formula>
    </cfRule>
  </conditionalFormatting>
  <conditionalFormatting sqref="Y13:Y16">
    <cfRule type="expression" dxfId="12" priority="16">
      <formula>$W$17&gt;$Z$17</formula>
    </cfRule>
    <cfRule type="expression" dxfId="11" priority="17">
      <formula>$Z$17&gt;$W$17</formula>
    </cfRule>
  </conditionalFormatting>
  <conditionalFormatting sqref="M17:M20">
    <cfRule type="expression" dxfId="10" priority="13">
      <formula>$K$21&lt;$N$21</formula>
    </cfRule>
    <cfRule type="expression" dxfId="9" priority="14">
      <formula>$K$21&gt;$N$21</formula>
    </cfRule>
  </conditionalFormatting>
  <conditionalFormatting sqref="M47:M50">
    <cfRule type="expression" dxfId="8" priority="10">
      <formula>$K$51&lt;$N$51</formula>
    </cfRule>
    <cfRule type="expression" dxfId="7" priority="11">
      <formula>$K$51&gt;$N$51</formula>
    </cfRule>
  </conditionalFormatting>
  <conditionalFormatting sqref="I43:I46">
    <cfRule type="expression" dxfId="6" priority="6">
      <formula>$G$47&lt;$J$47</formula>
    </cfRule>
    <cfRule type="expression" dxfId="5" priority="7">
      <formula>$G$47&gt;$J$47</formula>
    </cfRule>
  </conditionalFormatting>
  <conditionalFormatting sqref="Y43:Y46">
    <cfRule type="expression" dxfId="4" priority="4">
      <formula>$W$47&lt;$Z$47</formula>
    </cfRule>
    <cfRule type="expression" dxfId="3" priority="5">
      <formula>$W$47&gt;$Z$47</formula>
    </cfRule>
  </conditionalFormatting>
  <conditionalFormatting sqref="U47:U50">
    <cfRule type="expression" dxfId="2" priority="2">
      <formula>$S$51&lt;$V$51</formula>
    </cfRule>
    <cfRule type="expression" dxfId="1" priority="3">
      <formula>$S$51&gt;$V$51</formula>
    </cfRule>
  </conditionalFormatting>
  <conditionalFormatting sqref="I13:I16">
    <cfRule type="expression" dxfId="0" priority="1">
      <formula>$G$17&lt;$J$17</formula>
    </cfRule>
  </conditionalFormatting>
  <printOptions horizontalCentered="1"/>
  <pageMargins left="0.39370078740157483" right="0.39370078740157483" top="0.98425196850393704" bottom="0.98425196850393704" header="0.51181102362204722" footer="0.51181102362204722"/>
  <pageSetup paperSize="9" scale="65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日程・対戦記録表</vt:lpstr>
      <vt:lpstr>男子A</vt:lpstr>
      <vt:lpstr>男子B</vt:lpstr>
      <vt:lpstr>女子a</vt:lpstr>
      <vt:lpstr>女子b</vt:lpstr>
      <vt:lpstr>組合せ表</vt:lpstr>
      <vt:lpstr>男子A!Print_Area</vt:lpstr>
      <vt:lpstr>日程・対戦記録表!Print_Area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OTPC2007</dc:creator>
  <cp:lastModifiedBy>OTPC2007</cp:lastModifiedBy>
  <dcterms:created xsi:type="dcterms:W3CDTF">2019-07-28T10:28:22Z</dcterms:created>
  <dcterms:modified xsi:type="dcterms:W3CDTF">2019-07-28T10:46:16Z</dcterms:modified>
</cp:coreProperties>
</file>